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907"/>
  <workbookPr autoCompressPictures="0"/>
  <mc:AlternateContent xmlns:mc="http://schemas.openxmlformats.org/markup-compatibility/2006">
    <mc:Choice Requires="x15">
      <x15ac:absPath xmlns:x15ac="http://schemas.microsoft.com/office/spreadsheetml/2010/11/ac" url="/Users/MichelleSookieBong/Google Drive/School/FIU FALL 2017/REE 4204 RE finance/"/>
    </mc:Choice>
  </mc:AlternateContent>
  <bookViews>
    <workbookView xWindow="0" yWindow="460" windowWidth="25600" windowHeight="15520" activeTab="4"/>
  </bookViews>
  <sheets>
    <sheet name="Info" sheetId="2" r:id="rId1"/>
    <sheet name="Rent Market Project" sheetId="5" r:id="rId2"/>
    <sheet name="Building Purchase&amp;Depreciation" sheetId="6" r:id="rId3"/>
    <sheet name="Yearly Cashflow" sheetId="3" r:id="rId4"/>
    <sheet name="DCF Outline" sheetId="7" r:id="rId5"/>
  </sheet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calcChain.xml><?xml version="1.0" encoding="utf-8"?>
<calcChain xmlns="http://schemas.openxmlformats.org/spreadsheetml/2006/main">
  <c r="B8" i="3" l="1"/>
  <c r="C8" i="3"/>
  <c r="D8" i="3"/>
  <c r="E8" i="3"/>
  <c r="B3" i="7"/>
  <c r="B5" i="7"/>
  <c r="E6" i="3"/>
  <c r="E11" i="3"/>
  <c r="B6" i="7"/>
  <c r="B12" i="3"/>
  <c r="E12" i="3"/>
  <c r="B7" i="7"/>
  <c r="B8" i="7"/>
  <c r="B11" i="6"/>
  <c r="B13" i="6"/>
  <c r="B3" i="6"/>
  <c r="B5" i="6"/>
  <c r="B15" i="6"/>
  <c r="E13" i="3"/>
  <c r="B9" i="7"/>
  <c r="B10" i="7"/>
  <c r="B15" i="7"/>
  <c r="B16" i="7"/>
  <c r="C23" i="6"/>
  <c r="B17" i="7"/>
  <c r="B18" i="7"/>
  <c r="B19" i="7"/>
  <c r="B11" i="7"/>
  <c r="B12" i="7"/>
  <c r="B33" i="7"/>
  <c r="B7" i="6"/>
  <c r="B35" i="7"/>
  <c r="B36" i="7"/>
  <c r="B35" i="6"/>
  <c r="E35" i="6"/>
  <c r="B36" i="6"/>
  <c r="E36" i="6"/>
  <c r="B37" i="6"/>
  <c r="E37" i="6"/>
  <c r="B38" i="6"/>
  <c r="E38" i="6"/>
  <c r="B39" i="6"/>
  <c r="E39" i="6"/>
  <c r="B40" i="6"/>
  <c r="B23" i="7"/>
  <c r="B24" i="7"/>
  <c r="B25" i="7"/>
  <c r="D23" i="6"/>
  <c r="B23" i="6"/>
  <c r="E23" i="6"/>
  <c r="D24" i="6"/>
  <c r="C24" i="6"/>
  <c r="B24" i="6"/>
  <c r="E24" i="6"/>
  <c r="D25" i="6"/>
  <c r="C25" i="6"/>
  <c r="B25" i="6"/>
  <c r="E25" i="6"/>
  <c r="D26" i="6"/>
  <c r="C26" i="6"/>
  <c r="B26" i="6"/>
  <c r="E26" i="6"/>
  <c r="D27" i="6"/>
  <c r="C27" i="6"/>
  <c r="B27" i="6"/>
  <c r="E27" i="6"/>
  <c r="B26" i="7"/>
  <c r="B27" i="7"/>
  <c r="B28" i="7"/>
  <c r="D36" i="6"/>
  <c r="D93" i="3"/>
  <c r="D94" i="3"/>
  <c r="D98" i="3"/>
  <c r="B97" i="3"/>
  <c r="C97" i="3"/>
  <c r="D97" i="3"/>
  <c r="E97" i="3"/>
  <c r="C59" i="3"/>
  <c r="C60" i="3"/>
  <c r="D59" i="3"/>
  <c r="D60" i="3"/>
  <c r="D64" i="3"/>
  <c r="C63" i="3"/>
  <c r="D63" i="3"/>
  <c r="E63" i="3"/>
  <c r="B80" i="3"/>
  <c r="C80" i="3"/>
  <c r="D80" i="3"/>
  <c r="E80" i="3"/>
  <c r="D76" i="3"/>
  <c r="D77" i="3"/>
  <c r="D81" i="3"/>
  <c r="C41" i="3"/>
  <c r="C42" i="3"/>
  <c r="D41" i="3"/>
  <c r="D42" i="3"/>
  <c r="D46" i="3"/>
  <c r="C45" i="3"/>
  <c r="D45" i="3"/>
  <c r="E45" i="3"/>
  <c r="E47" i="3"/>
  <c r="D7" i="7"/>
  <c r="B25" i="3"/>
  <c r="C24" i="3"/>
  <c r="C25" i="3"/>
  <c r="D24" i="3"/>
  <c r="D25" i="3"/>
  <c r="E23" i="3"/>
  <c r="E28" i="3"/>
  <c r="B29" i="3"/>
  <c r="E29" i="3"/>
  <c r="C7" i="7"/>
  <c r="B63" i="3"/>
  <c r="B45" i="3"/>
  <c r="B11" i="3"/>
  <c r="C11" i="3"/>
  <c r="D11" i="3"/>
  <c r="D28" i="3"/>
  <c r="C28" i="3"/>
  <c r="B28" i="3"/>
  <c r="B3" i="5"/>
  <c r="B4" i="5"/>
  <c r="E40" i="3"/>
  <c r="E58" i="3"/>
  <c r="E75" i="3"/>
  <c r="E92" i="3"/>
  <c r="C64" i="3"/>
  <c r="C46" i="3"/>
  <c r="E24" i="3"/>
  <c r="E7" i="3"/>
  <c r="B25" i="2"/>
  <c r="B9" i="2"/>
  <c r="B10" i="2"/>
  <c r="F6" i="7"/>
  <c r="D6" i="7"/>
  <c r="E6" i="7"/>
  <c r="C16" i="7"/>
  <c r="B41" i="3"/>
  <c r="B5" i="5"/>
  <c r="C6" i="7"/>
  <c r="E25" i="3"/>
  <c r="G6" i="7"/>
  <c r="E41" i="3"/>
  <c r="B42" i="3"/>
  <c r="B17" i="6"/>
  <c r="B6" i="5"/>
  <c r="B59" i="3"/>
  <c r="E48" i="3"/>
  <c r="D9" i="7"/>
  <c r="E99" i="3"/>
  <c r="G9" i="7"/>
  <c r="E30" i="3"/>
  <c r="E82" i="3"/>
  <c r="F9" i="7"/>
  <c r="E65" i="3"/>
  <c r="E9" i="7"/>
  <c r="D28" i="6"/>
  <c r="C3" i="7"/>
  <c r="C5" i="7"/>
  <c r="C8" i="7"/>
  <c r="D37" i="6"/>
  <c r="D16" i="7"/>
  <c r="C9" i="7"/>
  <c r="C10" i="7"/>
  <c r="C15" i="7"/>
  <c r="D38" i="6"/>
  <c r="E16" i="7"/>
  <c r="E14" i="3"/>
  <c r="E16" i="3"/>
  <c r="C17" i="7"/>
  <c r="B60" i="3"/>
  <c r="E59" i="3"/>
  <c r="E42" i="3"/>
  <c r="B46" i="3"/>
  <c r="E31" i="3"/>
  <c r="E33" i="3"/>
  <c r="C76" i="3"/>
  <c r="C77" i="3"/>
  <c r="C81" i="3"/>
  <c r="B76" i="3"/>
  <c r="B7" i="5"/>
  <c r="E76" i="3"/>
  <c r="B77" i="3"/>
  <c r="D3" i="7"/>
  <c r="E46" i="3"/>
  <c r="D39" i="6"/>
  <c r="F16" i="7"/>
  <c r="E60" i="3"/>
  <c r="B64" i="3"/>
  <c r="B93" i="3"/>
  <c r="B8" i="5"/>
  <c r="B9" i="5"/>
  <c r="C93" i="3"/>
  <c r="C94" i="3"/>
  <c r="C98" i="3"/>
  <c r="C18" i="7"/>
  <c r="C19" i="7"/>
  <c r="C11" i="7"/>
  <c r="C12" i="7"/>
  <c r="C33" i="7"/>
  <c r="C36" i="7"/>
  <c r="E93" i="3"/>
  <c r="B94" i="3"/>
  <c r="E3" i="7"/>
  <c r="E64" i="3"/>
  <c r="D40" i="6"/>
  <c r="G16" i="7"/>
  <c r="E77" i="3"/>
  <c r="B81" i="3"/>
  <c r="D4" i="7"/>
  <c r="D5" i="7"/>
  <c r="D8" i="7"/>
  <c r="E49" i="3"/>
  <c r="E51" i="3"/>
  <c r="D10" i="7"/>
  <c r="D15" i="7"/>
  <c r="D17" i="7"/>
  <c r="D18" i="7"/>
  <c r="D19" i="7"/>
  <c r="D11" i="7"/>
  <c r="E4" i="7"/>
  <c r="E66" i="3"/>
  <c r="E68" i="3"/>
  <c r="E94" i="3"/>
  <c r="B98" i="3"/>
  <c r="E5" i="7"/>
  <c r="E8" i="7"/>
  <c r="F3" i="7"/>
  <c r="E81" i="3"/>
  <c r="E40" i="6"/>
  <c r="E15" i="7"/>
  <c r="E10" i="7"/>
  <c r="D12" i="7"/>
  <c r="D33" i="7"/>
  <c r="F4" i="7"/>
  <c r="F5" i="7"/>
  <c r="F8" i="7"/>
  <c r="E83" i="3"/>
  <c r="E85" i="3"/>
  <c r="E98" i="3"/>
  <c r="G3" i="7"/>
  <c r="F10" i="7"/>
  <c r="F15" i="7"/>
  <c r="D36" i="7"/>
  <c r="G4" i="7"/>
  <c r="G5" i="7"/>
  <c r="G8" i="7"/>
  <c r="E100" i="3"/>
  <c r="E102" i="3"/>
  <c r="E17" i="7"/>
  <c r="E18" i="7"/>
  <c r="E19" i="7"/>
  <c r="E11" i="7"/>
  <c r="E12" i="7"/>
  <c r="E33" i="7"/>
  <c r="D23" i="7"/>
  <c r="E36" i="7"/>
  <c r="G15" i="7"/>
  <c r="G10" i="7"/>
  <c r="F17" i="7"/>
  <c r="F18" i="7"/>
  <c r="F19" i="7"/>
  <c r="F11" i="7"/>
  <c r="F12" i="7"/>
  <c r="F33" i="7"/>
  <c r="C28" i="6"/>
  <c r="F36" i="7"/>
  <c r="G17" i="7"/>
  <c r="G18" i="7"/>
  <c r="G19" i="7"/>
  <c r="G11" i="7"/>
  <c r="G12" i="7"/>
  <c r="G33" i="7"/>
  <c r="B28" i="6"/>
  <c r="E28" i="6"/>
  <c r="B29" i="7"/>
  <c r="G34" i="7"/>
  <c r="G36" i="7"/>
  <c r="I36" i="7"/>
  <c r="H33" i="7"/>
</calcChain>
</file>

<file path=xl/sharedStrings.xml><?xml version="1.0" encoding="utf-8"?>
<sst xmlns="http://schemas.openxmlformats.org/spreadsheetml/2006/main" count="227" uniqueCount="138">
  <si>
    <t>Asking price per SF</t>
  </si>
  <si>
    <t>Purchasing cost</t>
  </si>
  <si>
    <t>Tenants</t>
  </si>
  <si>
    <t>Tenant 1</t>
  </si>
  <si>
    <t>Currently renting SF</t>
  </si>
  <si>
    <t>Annual value per SF</t>
  </si>
  <si>
    <t>Lease expiry Yrs</t>
  </si>
  <si>
    <t>Tenant 2</t>
  </si>
  <si>
    <t>Annual increase</t>
  </si>
  <si>
    <t>Tenant 3</t>
  </si>
  <si>
    <t>Rental increase $ per SF</t>
  </si>
  <si>
    <t>Beginning of 2nd and 4th year</t>
  </si>
  <si>
    <t>of the PGI</t>
  </si>
  <si>
    <t>Increase of V&amp;C after the expiry of the second lease</t>
  </si>
  <si>
    <t>For the next 3 years</t>
  </si>
  <si>
    <t>With inflation</t>
  </si>
  <si>
    <t>of the remaining operating expenses</t>
  </si>
  <si>
    <t>Elevetor replacement cost</t>
  </si>
  <si>
    <t>in year 4</t>
  </si>
  <si>
    <t>Building Depreciation years</t>
  </si>
  <si>
    <t>Mid year convention for 1st and last year</t>
  </si>
  <si>
    <t>value of improvenemts</t>
  </si>
  <si>
    <t>of the purchasing price</t>
  </si>
  <si>
    <t>Going out cap rate</t>
  </si>
  <si>
    <t>Investor's return/Discount rate</t>
  </si>
  <si>
    <t>Selling costs</t>
  </si>
  <si>
    <t>of sales price</t>
  </si>
  <si>
    <t xml:space="preserve">Investor's period of holding the building </t>
  </si>
  <si>
    <t>Years</t>
  </si>
  <si>
    <t>Income tax</t>
  </si>
  <si>
    <t>Capital gains tax</t>
  </si>
  <si>
    <t>NB: tax depreciation recapture and pure capital gain</t>
  </si>
  <si>
    <t>Year 1</t>
  </si>
  <si>
    <t>Year 2</t>
  </si>
  <si>
    <t>Year 3</t>
  </si>
  <si>
    <t>Year 4</t>
  </si>
  <si>
    <t>Year 5</t>
  </si>
  <si>
    <t>NPV</t>
  </si>
  <si>
    <t>Investment Asking Price</t>
  </si>
  <si>
    <t>Total Asking Price</t>
  </si>
  <si>
    <t>Building Size SF</t>
  </si>
  <si>
    <t xml:space="preserve"> Price for Total SF</t>
  </si>
  <si>
    <t>Part 1 QUESTION</t>
  </si>
  <si>
    <t>Investment Returns</t>
  </si>
  <si>
    <t>V&amp;C after first lease expiry</t>
  </si>
  <si>
    <t>Notes</t>
  </si>
  <si>
    <t>For te next 4 years after depreciation</t>
  </si>
  <si>
    <t>Operating Expense per SF</t>
  </si>
  <si>
    <t>per year</t>
  </si>
  <si>
    <t>Market rate of Rent increase per year</t>
  </si>
  <si>
    <t>Market rate of Rent decrease per year</t>
  </si>
  <si>
    <t>Current annual market rate per SF</t>
  </si>
  <si>
    <t>Annual increase in Operation Cost</t>
  </si>
  <si>
    <t>Landlord cover operation cost</t>
  </si>
  <si>
    <t>for a period of three years</t>
  </si>
  <si>
    <t>Elevator Annual Capital Reserve Expense</t>
  </si>
  <si>
    <t>Annual Investment Costs</t>
  </si>
  <si>
    <t>Income</t>
  </si>
  <si>
    <t>Expense</t>
  </si>
  <si>
    <t>Operating expenses</t>
  </si>
  <si>
    <t>Income before tax</t>
  </si>
  <si>
    <t>TOTAL</t>
  </si>
  <si>
    <t>Vacancy and Collection Loss</t>
  </si>
  <si>
    <t xml:space="preserve">     Total rent per year</t>
  </si>
  <si>
    <t xml:space="preserve">     Total Expense</t>
  </si>
  <si>
    <t>Year 0</t>
  </si>
  <si>
    <t>Yearly Cashflows</t>
  </si>
  <si>
    <t>-</t>
  </si>
  <si>
    <t>Elevator Capital Reserve (assume the cost is distributed evenly on all tenants)</t>
  </si>
  <si>
    <t xml:space="preserve">Elevator Capital Reserve </t>
  </si>
  <si>
    <t>Year</t>
  </si>
  <si>
    <t>Annual Interest Rate</t>
  </si>
  <si>
    <t>IRR</t>
  </si>
  <si>
    <t>Rent</t>
  </si>
  <si>
    <t>Loan to Value Ratio</t>
  </si>
  <si>
    <t xml:space="preserve">                              Loan Amortization</t>
  </si>
  <si>
    <t>Purchasing Amount</t>
  </si>
  <si>
    <t>Loaned Amount</t>
  </si>
  <si>
    <t>Compounded Monthly Interest Rate</t>
  </si>
  <si>
    <t>Amortization Rate</t>
  </si>
  <si>
    <t>Annual Loan Repayment</t>
  </si>
  <si>
    <t>Annual Mortgage Loan Repayment</t>
  </si>
  <si>
    <t>Operating Cash Flows</t>
    <phoneticPr fontId="2" type="noConversion"/>
  </si>
  <si>
    <t>PGI</t>
    <phoneticPr fontId="2" type="noConversion"/>
  </si>
  <si>
    <t>V&amp;C</t>
    <phoneticPr fontId="2" type="noConversion"/>
  </si>
  <si>
    <t>EGI</t>
    <phoneticPr fontId="2" type="noConversion"/>
  </si>
  <si>
    <t>OE</t>
    <phoneticPr fontId="2" type="noConversion"/>
  </si>
  <si>
    <t>NOI</t>
    <phoneticPr fontId="2" type="noConversion"/>
  </si>
  <si>
    <t>DS</t>
    <phoneticPr fontId="2" type="noConversion"/>
  </si>
  <si>
    <t>BTCF</t>
    <phoneticPr fontId="2" type="noConversion"/>
  </si>
  <si>
    <t>Tax</t>
    <phoneticPr fontId="2" type="noConversion"/>
  </si>
  <si>
    <t>ATCF</t>
    <phoneticPr fontId="2" type="noConversion"/>
  </si>
  <si>
    <t>Tax liability</t>
    <phoneticPr fontId="2" type="noConversion"/>
  </si>
  <si>
    <t>Depreciation</t>
    <phoneticPr fontId="2" type="noConversion"/>
  </si>
  <si>
    <t>Interest</t>
    <phoneticPr fontId="2" type="noConversion"/>
  </si>
  <si>
    <t>Taxable income</t>
    <phoneticPr fontId="2" type="noConversion"/>
  </si>
  <si>
    <t xml:space="preserve">Tax </t>
    <phoneticPr fontId="2" type="noConversion"/>
  </si>
  <si>
    <t>Equity reversion</t>
    <phoneticPr fontId="2" type="noConversion"/>
  </si>
  <si>
    <t>Capital Gains Tax</t>
  </si>
  <si>
    <t>Sales price</t>
    <phoneticPr fontId="2" type="noConversion"/>
  </si>
  <si>
    <t>NSP</t>
    <phoneticPr fontId="2" type="noConversion"/>
  </si>
  <si>
    <t>Selling costs</t>
    <phoneticPr fontId="2" type="noConversion"/>
  </si>
  <si>
    <t>Mortgage balance</t>
    <phoneticPr fontId="2" type="noConversion"/>
  </si>
  <si>
    <t>CGT</t>
    <phoneticPr fontId="2" type="noConversion"/>
  </si>
  <si>
    <t>BTER</t>
    <phoneticPr fontId="2" type="noConversion"/>
  </si>
  <si>
    <t>ATER</t>
    <phoneticPr fontId="2" type="noConversion"/>
  </si>
  <si>
    <t>Discounted Cash Flow Analysis (DCF)</t>
  </si>
  <si>
    <t>ATCF</t>
  </si>
  <si>
    <t>ATER</t>
    <phoneticPr fontId="2" type="noConversion"/>
  </si>
  <si>
    <t>Initial equity investment</t>
  </si>
  <si>
    <t>Total CF</t>
    <phoneticPr fontId="2" type="noConversion"/>
  </si>
  <si>
    <t>CER</t>
  </si>
  <si>
    <t>Purchasing Price</t>
  </si>
  <si>
    <t>Capital Expenditure</t>
  </si>
  <si>
    <t>Total</t>
  </si>
  <si>
    <t>Depreciation Calculation</t>
  </si>
  <si>
    <t>Annual depreciation rate = 20%/40 years</t>
  </si>
  <si>
    <t>Depreciation</t>
  </si>
  <si>
    <t>Loan Payment Schedule</t>
  </si>
  <si>
    <t>Principal Payment</t>
  </si>
  <si>
    <t>Interest</t>
  </si>
  <si>
    <t>Total Loan Repayment</t>
  </si>
  <si>
    <t>Loan Balance</t>
  </si>
  <si>
    <t>Initial Capital</t>
  </si>
  <si>
    <t>Adjusted Basis</t>
  </si>
  <si>
    <t xml:space="preserve">The landlord only covers 25% of the OE. Also 8.5 is the current (year 0) OE, so year 1's OE is 8.5 increased by inflation. </t>
  </si>
  <si>
    <t xml:space="preserve">Your annual PMT is slightly off. It may be rounding. Please use the PMT function to get the monthly mortgage payment. </t>
  </si>
  <si>
    <t xml:space="preserve">See my comment where you calculate the PMT. </t>
  </si>
  <si>
    <t xml:space="preserve">The capital expense only incurs in year 4, so you can only depreciate it in year 4 and 5. </t>
  </si>
  <si>
    <t>Depreciation is based on the building value, which is 80% of the purchase price. You divide this building value by 39 years .</t>
  </si>
  <si>
    <t xml:space="preserve">See my comments where you calculate the depreciation. In the first and last year of ownership, you can only claim half the annual depreciation amount. The same applies to the new elevator. </t>
  </si>
  <si>
    <t xml:space="preserve">As the payments are monthly, calculate the accumulated interest based on monthly payments. </t>
  </si>
  <si>
    <t xml:space="preserve">See my comments where you calculate the interest payment. </t>
  </si>
  <si>
    <t>Not needed for year 6.</t>
  </si>
  <si>
    <t xml:space="preserve">This is incorrect. The sales price is year 6's NOI divided by the going out cap rate. </t>
  </si>
  <si>
    <t xml:space="preserve">This will change when you use monthly payments. </t>
  </si>
  <si>
    <t xml:space="preserve">This is not how the tax is calculate. See the outline. You have to calculate the income tax for the recaptured depreciation and the capital gain tax for the pure capital gain. </t>
  </si>
  <si>
    <t xml:space="preserve">The purchasing costs are an out of pocket expense that you have to add to your initial investment.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</si>
</sst>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8" formatCode="&quot;$&quot;#,##0.00_);[Red]\(&quot;$&quot;#,##0.00\)"/>
    <numFmt numFmtId="44" formatCode="_(&quot;$&quot;* #,##0.00_);_(&quot;$&quot;* \(#,##0.00\);_(&quot;$&quot;* &quot;-&quot;??_);_(@_)"/>
    <numFmt numFmtId="43" formatCode="_(* #,##0.00_);_(* \(#,##0.00\);_(* &quot;-&quot;??_);_(@_)"/>
    <numFmt numFmtId="164" formatCode="0.0%"/>
    <numFmt numFmtId="165" formatCode="_(* #,##0_);_(* \(#,##0\);_(* &quot;-&quot;??_);_(@_)"/>
    <numFmt numFmtId="166" formatCode="&quot;$&quot;#,##0.00"/>
    <numFmt numFmtId="167" formatCode="&quot;$&quot;#,##0"/>
  </numFmts>
  <fonts count="21" x14ac:knownFonts="1">
    <font>
      <sz val="11"/>
      <color theme="1"/>
      <name val="Calibri"/>
      <family val="2"/>
      <scheme val="minor"/>
    </font>
    <font>
      <sz val="11"/>
      <color theme="1"/>
      <name val="Calibri"/>
      <family val="2"/>
      <scheme val="minor"/>
    </font>
    <font>
      <sz val="11"/>
      <color theme="1"/>
      <name val="Calibri"/>
      <family val="2"/>
    </font>
    <font>
      <b/>
      <sz val="11"/>
      <color rgb="FF000000"/>
      <name val="Calibri"/>
      <family val="2"/>
    </font>
    <font>
      <sz val="11"/>
      <color rgb="FFFF0000"/>
      <name val="Calibri"/>
      <family val="2"/>
    </font>
    <font>
      <b/>
      <sz val="11"/>
      <color rgb="FFFF0000"/>
      <name val="Calibri"/>
    </font>
    <font>
      <b/>
      <sz val="11"/>
      <color theme="1"/>
      <name val="Calibri"/>
      <family val="2"/>
    </font>
    <font>
      <b/>
      <sz val="11"/>
      <name val="Calibri"/>
      <family val="2"/>
    </font>
    <font>
      <sz val="11"/>
      <name val="Calibri"/>
      <family val="2"/>
    </font>
    <font>
      <b/>
      <sz val="11"/>
      <color theme="1"/>
      <name val="Calibri"/>
      <family val="2"/>
      <scheme val="minor"/>
    </font>
    <font>
      <sz val="11"/>
      <color rgb="FF0000FF"/>
      <name val="Calibri"/>
    </font>
    <font>
      <sz val="11"/>
      <color rgb="FF0000FF"/>
      <name val="Calibri"/>
      <scheme val="minor"/>
    </font>
    <font>
      <b/>
      <sz val="11"/>
      <color rgb="FF0000FF"/>
      <name val="Calibri"/>
    </font>
    <font>
      <b/>
      <sz val="11"/>
      <name val="Calibri"/>
      <family val="2"/>
      <scheme val="minor"/>
    </font>
    <font>
      <b/>
      <sz val="10"/>
      <name val="Verdana"/>
      <family val="2"/>
    </font>
    <font>
      <sz val="10"/>
      <color rgb="FFFF0000"/>
      <name val="Verdana"/>
      <family val="2"/>
    </font>
    <font>
      <sz val="10"/>
      <name val="Verdana"/>
      <family val="2"/>
    </font>
    <font>
      <sz val="11"/>
      <name val="Calibri"/>
      <family val="2"/>
      <scheme val="minor"/>
    </font>
    <font>
      <b/>
      <sz val="11"/>
      <color rgb="FF0000FF"/>
      <name val="Calibri"/>
      <scheme val="minor"/>
    </font>
    <font>
      <sz val="10"/>
      <color rgb="FF0000FF"/>
      <name val="Verdana"/>
    </font>
    <font>
      <sz val="11"/>
      <color theme="0" tint="-0.34998626667073579"/>
      <name val="Calibri"/>
      <scheme val="minor"/>
    </font>
  </fonts>
  <fills count="3">
    <fill>
      <patternFill patternType="none"/>
    </fill>
    <fill>
      <patternFill patternType="gray125"/>
    </fill>
    <fill>
      <patternFill patternType="solid">
        <fgColor theme="9" tint="0.399975585192419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84">
    <xf numFmtId="0" fontId="0" fillId="0" borderId="0" xfId="0"/>
    <xf numFmtId="0" fontId="2" fillId="0" borderId="0" xfId="0" applyFont="1" applyFill="1"/>
    <xf numFmtId="0" fontId="3" fillId="0" borderId="0" xfId="0" applyFont="1" applyFill="1"/>
    <xf numFmtId="0" fontId="4" fillId="0" borderId="0" xfId="0" applyFont="1" applyFill="1"/>
    <xf numFmtId="165" fontId="2" fillId="0" borderId="0" xfId="1" applyNumberFormat="1" applyFont="1" applyFill="1"/>
    <xf numFmtId="165" fontId="2" fillId="0" borderId="0" xfId="0" applyNumberFormat="1" applyFont="1" applyFill="1"/>
    <xf numFmtId="0" fontId="3" fillId="0" borderId="0" xfId="0" applyFont="1" applyFill="1" applyAlignment="1">
      <alignment horizontal="center"/>
    </xf>
    <xf numFmtId="0" fontId="2" fillId="0" borderId="0" xfId="0" applyFont="1" applyFill="1" applyAlignment="1">
      <alignment horizontal="center"/>
    </xf>
    <xf numFmtId="0" fontId="6" fillId="0" borderId="0" xfId="0" applyFont="1" applyFill="1" applyAlignment="1">
      <alignment horizontal="center"/>
    </xf>
    <xf numFmtId="0" fontId="7" fillId="2" borderId="0" xfId="0" applyFont="1" applyFill="1"/>
    <xf numFmtId="0" fontId="8" fillId="0" borderId="0" xfId="0" applyFont="1" applyFill="1"/>
    <xf numFmtId="0" fontId="7" fillId="0" borderId="0" xfId="0" applyFont="1" applyFill="1" applyAlignment="1">
      <alignment horizontal="center"/>
    </xf>
    <xf numFmtId="43" fontId="8" fillId="0" borderId="0" xfId="1" applyNumberFormat="1" applyFont="1" applyFill="1"/>
    <xf numFmtId="43" fontId="8" fillId="0" borderId="0" xfId="0" applyNumberFormat="1" applyFont="1" applyFill="1"/>
    <xf numFmtId="0" fontId="7" fillId="0" borderId="0" xfId="0" applyFont="1" applyFill="1" applyAlignment="1">
      <alignment horizontal="left"/>
    </xf>
    <xf numFmtId="0" fontId="7" fillId="0" borderId="0" xfId="0" applyFont="1" applyFill="1"/>
    <xf numFmtId="43" fontId="7" fillId="0" borderId="0" xfId="1" applyNumberFormat="1" applyFont="1" applyFill="1"/>
    <xf numFmtId="0" fontId="3" fillId="2" borderId="0" xfId="0" applyFont="1" applyFill="1" applyAlignment="1">
      <alignment horizontal="center"/>
    </xf>
    <xf numFmtId="0" fontId="2" fillId="0" borderId="0" xfId="0" applyFont="1" applyFill="1" applyAlignment="1">
      <alignment horizontal="right"/>
    </xf>
    <xf numFmtId="166" fontId="2" fillId="0" borderId="0" xfId="0" applyNumberFormat="1" applyFont="1" applyFill="1" applyAlignment="1">
      <alignment horizontal="right"/>
    </xf>
    <xf numFmtId="9" fontId="2" fillId="0" borderId="0" xfId="0" applyNumberFormat="1" applyFont="1" applyFill="1" applyAlignment="1">
      <alignment horizontal="right"/>
    </xf>
    <xf numFmtId="10" fontId="2" fillId="0" borderId="0" xfId="0" applyNumberFormat="1" applyFont="1" applyFill="1" applyAlignment="1">
      <alignment horizontal="right"/>
    </xf>
    <xf numFmtId="167" fontId="2" fillId="0" borderId="0" xfId="0" applyNumberFormat="1" applyFont="1" applyFill="1" applyAlignment="1">
      <alignment horizontal="right"/>
    </xf>
    <xf numFmtId="164" fontId="2" fillId="0" borderId="0" xfId="0" applyNumberFormat="1" applyFont="1" applyFill="1" applyAlignment="1">
      <alignment horizontal="right"/>
    </xf>
    <xf numFmtId="0" fontId="0" fillId="0" borderId="0" xfId="0" applyAlignment="1">
      <alignment horizontal="right"/>
    </xf>
    <xf numFmtId="0" fontId="5" fillId="0" borderId="0" xfId="0" applyFont="1" applyFill="1" applyAlignment="1">
      <alignment horizontal="right"/>
    </xf>
    <xf numFmtId="0" fontId="8" fillId="0" borderId="0" xfId="0" applyFont="1" applyFill="1" applyAlignment="1">
      <alignment horizontal="right"/>
    </xf>
    <xf numFmtId="43" fontId="8" fillId="0" borderId="0" xfId="1" applyNumberFormat="1" applyFont="1" applyFill="1" applyAlignment="1">
      <alignment horizontal="right"/>
    </xf>
    <xf numFmtId="43" fontId="8" fillId="0" borderId="0" xfId="0" applyNumberFormat="1" applyFont="1" applyFill="1" applyAlignment="1">
      <alignment horizontal="right"/>
    </xf>
    <xf numFmtId="43" fontId="7" fillId="0" borderId="0" xfId="0" applyNumberFormat="1" applyFont="1" applyFill="1" applyAlignment="1">
      <alignment horizontal="right"/>
    </xf>
    <xf numFmtId="165" fontId="2" fillId="0" borderId="0" xfId="0" applyNumberFormat="1" applyFont="1" applyFill="1" applyAlignment="1">
      <alignment horizontal="right"/>
    </xf>
    <xf numFmtId="165" fontId="2" fillId="0" borderId="0" xfId="1" applyNumberFormat="1" applyFont="1" applyFill="1" applyAlignment="1">
      <alignment horizontal="right"/>
    </xf>
    <xf numFmtId="43" fontId="2" fillId="0" borderId="0" xfId="0" applyNumberFormat="1" applyFont="1" applyFill="1" applyAlignment="1">
      <alignment horizontal="right"/>
    </xf>
    <xf numFmtId="10" fontId="0" fillId="0" borderId="0" xfId="0" applyNumberFormat="1"/>
    <xf numFmtId="0" fontId="9" fillId="0" borderId="0" xfId="0" applyFont="1"/>
    <xf numFmtId="0" fontId="9" fillId="0" borderId="0" xfId="0" applyFont="1" applyAlignment="1">
      <alignment horizontal="center"/>
    </xf>
    <xf numFmtId="0" fontId="11" fillId="0" borderId="0" xfId="0" applyFont="1"/>
    <xf numFmtId="43" fontId="10" fillId="0" borderId="0" xfId="1" applyNumberFormat="1" applyFont="1" applyFill="1" applyAlignment="1">
      <alignment horizontal="right"/>
    </xf>
    <xf numFmtId="43" fontId="12" fillId="0" borderId="0" xfId="1" applyNumberFormat="1" applyFont="1" applyFill="1" applyAlignment="1">
      <alignment horizontal="right"/>
    </xf>
    <xf numFmtId="44" fontId="0" fillId="0" borderId="0" xfId="2" applyFont="1"/>
    <xf numFmtId="44" fontId="0" fillId="0" borderId="0" xfId="0" applyNumberFormat="1"/>
    <xf numFmtId="10" fontId="0" fillId="0" borderId="0" xfId="3" applyNumberFormat="1" applyFont="1"/>
    <xf numFmtId="0" fontId="8" fillId="0" borderId="0" xfId="0" applyFont="1"/>
    <xf numFmtId="0" fontId="13" fillId="0" borderId="0" xfId="0" applyFont="1"/>
    <xf numFmtId="44" fontId="9" fillId="0" borderId="0" xfId="0" applyNumberFormat="1" applyFont="1"/>
    <xf numFmtId="0" fontId="14" fillId="0" borderId="0" xfId="0" applyFont="1" applyBorder="1"/>
    <xf numFmtId="0" fontId="0" fillId="0" borderId="0" xfId="0" applyBorder="1"/>
    <xf numFmtId="0" fontId="0" fillId="0" borderId="1" xfId="0" applyBorder="1"/>
    <xf numFmtId="0" fontId="15" fillId="0" borderId="0" xfId="0" applyFont="1" applyBorder="1"/>
    <xf numFmtId="0" fontId="14" fillId="0" borderId="0" xfId="0" applyFont="1" applyFill="1" applyBorder="1"/>
    <xf numFmtId="0" fontId="0" fillId="0" borderId="1" xfId="0" applyFont="1" applyBorder="1"/>
    <xf numFmtId="0" fontId="16" fillId="0" borderId="1" xfId="0" applyFont="1" applyBorder="1"/>
    <xf numFmtId="43" fontId="0" fillId="0" borderId="1" xfId="0" applyNumberFormat="1" applyBorder="1"/>
    <xf numFmtId="43" fontId="16" fillId="0" borderId="1" xfId="0" applyNumberFormat="1" applyFont="1" applyBorder="1"/>
    <xf numFmtId="0" fontId="17" fillId="0" borderId="1" xfId="0" applyFont="1" applyBorder="1"/>
    <xf numFmtId="0" fontId="16" fillId="0" borderId="0" xfId="0" applyFont="1" applyBorder="1"/>
    <xf numFmtId="44" fontId="9" fillId="0" borderId="0" xfId="0" applyNumberFormat="1" applyFont="1" applyAlignment="1">
      <alignment horizontal="center"/>
    </xf>
    <xf numFmtId="0" fontId="0" fillId="0" borderId="0" xfId="0" applyAlignment="1">
      <alignment horizontal="center"/>
    </xf>
    <xf numFmtId="0" fontId="0" fillId="0" borderId="0" xfId="0" applyFont="1"/>
    <xf numFmtId="44" fontId="0" fillId="0" borderId="0" xfId="0" applyNumberFormat="1" applyFont="1"/>
    <xf numFmtId="0" fontId="9" fillId="0" borderId="0" xfId="0" applyFont="1" applyBorder="1"/>
    <xf numFmtId="43" fontId="9" fillId="0" borderId="0" xfId="0" applyNumberFormat="1" applyFont="1" applyBorder="1"/>
    <xf numFmtId="44" fontId="0" fillId="0" borderId="0" xfId="0" applyNumberFormat="1" applyBorder="1"/>
    <xf numFmtId="44" fontId="0" fillId="0" borderId="0" xfId="2" applyFont="1" applyBorder="1"/>
    <xf numFmtId="0" fontId="11" fillId="0" borderId="1" xfId="0" applyFont="1" applyBorder="1"/>
    <xf numFmtId="43" fontId="11" fillId="0" borderId="1" xfId="0" applyNumberFormat="1" applyFont="1" applyBorder="1"/>
    <xf numFmtId="0" fontId="11" fillId="0" borderId="0" xfId="0" applyFont="1" applyBorder="1"/>
    <xf numFmtId="0" fontId="18" fillId="0" borderId="0" xfId="0" applyFont="1"/>
    <xf numFmtId="44" fontId="18" fillId="0" borderId="0" xfId="0" applyNumberFormat="1" applyFont="1"/>
    <xf numFmtId="8" fontId="11" fillId="0" borderId="0" xfId="0" applyNumberFormat="1" applyFont="1"/>
    <xf numFmtId="0" fontId="19" fillId="0" borderId="1" xfId="0" applyFont="1" applyBorder="1"/>
    <xf numFmtId="43" fontId="19" fillId="0" borderId="1" xfId="2" applyNumberFormat="1" applyFont="1" applyBorder="1"/>
    <xf numFmtId="43" fontId="19" fillId="0" borderId="1" xfId="0" applyNumberFormat="1" applyFont="1" applyBorder="1"/>
    <xf numFmtId="0" fontId="19" fillId="0" borderId="0" xfId="0" applyFont="1" applyBorder="1"/>
    <xf numFmtId="0" fontId="18" fillId="0" borderId="0" xfId="0" applyFont="1" applyAlignment="1">
      <alignment horizontal="center"/>
    </xf>
    <xf numFmtId="44" fontId="11" fillId="0" borderId="0" xfId="0" applyNumberFormat="1" applyFont="1"/>
    <xf numFmtId="43" fontId="20" fillId="0" borderId="1" xfId="0" applyNumberFormat="1" applyFont="1" applyBorder="1"/>
    <xf numFmtId="44" fontId="19" fillId="0" borderId="0" xfId="0" applyNumberFormat="1" applyFont="1" applyBorder="1" applyAlignment="1"/>
    <xf numFmtId="44" fontId="11" fillId="0" borderId="0" xfId="0" applyNumberFormat="1" applyFont="1" applyBorder="1"/>
    <xf numFmtId="43" fontId="18" fillId="0" borderId="1" xfId="0" applyNumberFormat="1" applyFont="1" applyBorder="1"/>
    <xf numFmtId="44" fontId="18" fillId="0" borderId="1" xfId="0" applyNumberFormat="1" applyFont="1" applyBorder="1"/>
    <xf numFmtId="0" fontId="18" fillId="0" borderId="0" xfId="0" applyFont="1" applyBorder="1"/>
    <xf numFmtId="0" fontId="15" fillId="0" borderId="0" xfId="0" applyFont="1" applyBorder="1" applyAlignment="1">
      <alignment wrapText="1"/>
    </xf>
    <xf numFmtId="0" fontId="0" fillId="0" borderId="0" xfId="0" applyAlignment="1">
      <alignment wrapText="1"/>
    </xf>
  </cellXfs>
  <cellStyles count="4">
    <cellStyle name="Comma" xfId="1" builtinId="3"/>
    <cellStyle name="Currency" xfId="2" builtinId="4"/>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 Id="rId9"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5"/>
  <sheetViews>
    <sheetView workbookViewId="0">
      <selection activeCell="B51" sqref="B51"/>
    </sheetView>
  </sheetViews>
  <sheetFormatPr baseColWidth="10" defaultColWidth="8.83203125" defaultRowHeight="15" x14ac:dyDescent="0.2"/>
  <cols>
    <col min="1" max="1" width="48" bestFit="1" customWidth="1"/>
    <col min="2" max="2" width="31.5" customWidth="1"/>
    <col min="3" max="3" width="37.5" bestFit="1" customWidth="1"/>
  </cols>
  <sheetData>
    <row r="1" spans="1:4" x14ac:dyDescent="0.2">
      <c r="A1" s="1"/>
      <c r="B1" s="18"/>
      <c r="C1" s="18"/>
      <c r="D1" s="18"/>
    </row>
    <row r="2" spans="1:4" x14ac:dyDescent="0.2">
      <c r="A2" s="2" t="s">
        <v>42</v>
      </c>
      <c r="B2" s="18"/>
      <c r="C2" s="18"/>
      <c r="D2" s="18"/>
    </row>
    <row r="3" spans="1:4" x14ac:dyDescent="0.2">
      <c r="A3" s="2"/>
      <c r="B3" s="18"/>
      <c r="C3" s="18"/>
      <c r="D3" s="18"/>
    </row>
    <row r="4" spans="1:4" x14ac:dyDescent="0.2">
      <c r="A4" s="6" t="s">
        <v>38</v>
      </c>
      <c r="B4" s="18"/>
      <c r="C4" s="18"/>
      <c r="D4" s="18"/>
    </row>
    <row r="5" spans="1:4" x14ac:dyDescent="0.2">
      <c r="A5" s="1" t="s">
        <v>0</v>
      </c>
      <c r="B5" s="19">
        <v>135</v>
      </c>
      <c r="C5" s="18"/>
      <c r="D5" s="18"/>
    </row>
    <row r="6" spans="1:4" x14ac:dyDescent="0.2">
      <c r="A6" s="1" t="s">
        <v>1</v>
      </c>
      <c r="B6" s="20">
        <v>0.02</v>
      </c>
      <c r="C6" s="18"/>
      <c r="D6" s="18"/>
    </row>
    <row r="7" spans="1:4" x14ac:dyDescent="0.2">
      <c r="A7" s="1" t="s">
        <v>40</v>
      </c>
      <c r="B7" s="18">
        <v>60390</v>
      </c>
      <c r="C7" s="18"/>
      <c r="D7" s="18"/>
    </row>
    <row r="8" spans="1:4" x14ac:dyDescent="0.2">
      <c r="A8" s="1" t="s">
        <v>2</v>
      </c>
      <c r="B8" s="18">
        <v>3</v>
      </c>
      <c r="C8" s="18"/>
      <c r="D8" s="18"/>
    </row>
    <row r="9" spans="1:4" x14ac:dyDescent="0.2">
      <c r="A9" s="7" t="s">
        <v>41</v>
      </c>
      <c r="B9" s="19">
        <f>B7*B5</f>
        <v>8152650</v>
      </c>
      <c r="C9" s="18"/>
      <c r="D9" s="18"/>
    </row>
    <row r="10" spans="1:4" x14ac:dyDescent="0.2">
      <c r="A10" s="7" t="s">
        <v>39</v>
      </c>
      <c r="B10" s="19">
        <f>B9+(B6*B9)</f>
        <v>8315703</v>
      </c>
      <c r="C10" s="18"/>
      <c r="D10" s="18"/>
    </row>
    <row r="11" spans="1:4" x14ac:dyDescent="0.2">
      <c r="A11" s="1"/>
      <c r="B11" s="18"/>
      <c r="C11" s="18"/>
      <c r="D11" s="18"/>
    </row>
    <row r="12" spans="1:4" x14ac:dyDescent="0.2">
      <c r="A12" s="8" t="s">
        <v>43</v>
      </c>
      <c r="B12" s="18"/>
      <c r="C12" s="18"/>
      <c r="D12" s="18"/>
    </row>
    <row r="13" spans="1:4" x14ac:dyDescent="0.2">
      <c r="A13" s="3" t="s">
        <v>3</v>
      </c>
      <c r="B13" s="18"/>
      <c r="C13" s="18"/>
      <c r="D13" s="18"/>
    </row>
    <row r="14" spans="1:4" x14ac:dyDescent="0.2">
      <c r="A14" s="1" t="s">
        <v>4</v>
      </c>
      <c r="B14" s="18">
        <v>24156</v>
      </c>
      <c r="C14" s="18"/>
      <c r="D14" s="18"/>
    </row>
    <row r="15" spans="1:4" x14ac:dyDescent="0.2">
      <c r="A15" s="1" t="s">
        <v>5</v>
      </c>
      <c r="B15" s="19">
        <v>25</v>
      </c>
      <c r="C15" s="18"/>
      <c r="D15" s="18"/>
    </row>
    <row r="16" spans="1:4" x14ac:dyDescent="0.2">
      <c r="A16" s="1" t="s">
        <v>6</v>
      </c>
      <c r="B16" s="18">
        <v>2</v>
      </c>
      <c r="C16" s="18"/>
      <c r="D16" s="18"/>
    </row>
    <row r="17" spans="1:4" x14ac:dyDescent="0.2">
      <c r="A17" s="1"/>
      <c r="B17" s="18"/>
      <c r="C17" s="18"/>
      <c r="D17" s="18"/>
    </row>
    <row r="18" spans="1:4" x14ac:dyDescent="0.2">
      <c r="A18" s="3" t="s">
        <v>7</v>
      </c>
      <c r="B18" s="18"/>
      <c r="C18" s="18"/>
      <c r="D18" s="18"/>
    </row>
    <row r="19" spans="1:4" x14ac:dyDescent="0.2">
      <c r="A19" s="1" t="s">
        <v>4</v>
      </c>
      <c r="B19" s="18">
        <v>10266</v>
      </c>
      <c r="C19" s="18"/>
      <c r="D19" s="18"/>
    </row>
    <row r="20" spans="1:4" x14ac:dyDescent="0.2">
      <c r="A20" s="1" t="s">
        <v>5</v>
      </c>
      <c r="B20" s="19">
        <v>23.5</v>
      </c>
      <c r="C20" s="18"/>
      <c r="D20" s="18"/>
    </row>
    <row r="21" spans="1:4" x14ac:dyDescent="0.2">
      <c r="A21" s="1" t="s">
        <v>6</v>
      </c>
      <c r="B21" s="18">
        <v>4</v>
      </c>
      <c r="C21" s="18"/>
      <c r="D21" s="18"/>
    </row>
    <row r="22" spans="1:4" x14ac:dyDescent="0.2">
      <c r="A22" s="1" t="s">
        <v>8</v>
      </c>
      <c r="B22" s="21">
        <v>2.5000000000000001E-2</v>
      </c>
      <c r="C22" s="18"/>
      <c r="D22" s="18"/>
    </row>
    <row r="23" spans="1:4" x14ac:dyDescent="0.2">
      <c r="A23" s="1"/>
      <c r="B23" s="18"/>
      <c r="C23" s="18"/>
      <c r="D23" s="18"/>
    </row>
    <row r="24" spans="1:4" x14ac:dyDescent="0.2">
      <c r="A24" s="3" t="s">
        <v>9</v>
      </c>
      <c r="B24" s="18"/>
      <c r="C24" s="18"/>
      <c r="D24" s="18"/>
    </row>
    <row r="25" spans="1:4" x14ac:dyDescent="0.2">
      <c r="A25" s="1" t="s">
        <v>4</v>
      </c>
      <c r="B25" s="18">
        <f>B7-B14-B19</f>
        <v>25968</v>
      </c>
      <c r="C25" s="18"/>
      <c r="D25" s="18"/>
    </row>
    <row r="26" spans="1:4" x14ac:dyDescent="0.2">
      <c r="A26" s="1" t="s">
        <v>5</v>
      </c>
      <c r="B26" s="19">
        <v>22</v>
      </c>
      <c r="C26" s="18"/>
      <c r="D26" s="18"/>
    </row>
    <row r="27" spans="1:4" x14ac:dyDescent="0.2">
      <c r="A27" s="1" t="s">
        <v>6</v>
      </c>
      <c r="B27" s="18">
        <v>6</v>
      </c>
      <c r="C27" s="18"/>
      <c r="D27" s="18"/>
    </row>
    <row r="28" spans="1:4" x14ac:dyDescent="0.2">
      <c r="A28" s="1" t="s">
        <v>10</v>
      </c>
      <c r="B28" s="18">
        <v>2</v>
      </c>
      <c r="C28" s="18" t="s">
        <v>11</v>
      </c>
      <c r="D28" s="18"/>
    </row>
    <row r="29" spans="1:4" x14ac:dyDescent="0.2">
      <c r="A29" s="1"/>
      <c r="B29" s="18"/>
      <c r="C29" s="18"/>
      <c r="D29" s="18"/>
    </row>
    <row r="30" spans="1:4" x14ac:dyDescent="0.2">
      <c r="A30" s="8" t="s">
        <v>56</v>
      </c>
      <c r="B30" s="18"/>
      <c r="C30" s="18"/>
      <c r="D30" s="18"/>
    </row>
    <row r="31" spans="1:4" x14ac:dyDescent="0.2">
      <c r="A31" s="1" t="s">
        <v>47</v>
      </c>
      <c r="B31" s="19">
        <v>8.5</v>
      </c>
      <c r="C31" s="24" t="s">
        <v>48</v>
      </c>
      <c r="D31" s="18"/>
    </row>
    <row r="32" spans="1:4" x14ac:dyDescent="0.2">
      <c r="A32" s="1" t="s">
        <v>55</v>
      </c>
      <c r="B32" s="22">
        <v>150000</v>
      </c>
      <c r="C32" s="18" t="s">
        <v>54</v>
      </c>
      <c r="D32" s="18"/>
    </row>
    <row r="33" spans="1:4" x14ac:dyDescent="0.2">
      <c r="A33" s="1"/>
      <c r="B33" s="20"/>
      <c r="C33" s="18"/>
      <c r="D33" s="18"/>
    </row>
    <row r="34" spans="1:4" x14ac:dyDescent="0.2">
      <c r="A34" s="8" t="s">
        <v>45</v>
      </c>
      <c r="B34" s="18"/>
      <c r="C34" s="18"/>
      <c r="D34" s="18"/>
    </row>
    <row r="35" spans="1:4" x14ac:dyDescent="0.2">
      <c r="A35" s="1" t="s">
        <v>44</v>
      </c>
      <c r="B35" s="20">
        <v>0.05</v>
      </c>
      <c r="C35" s="18" t="s">
        <v>12</v>
      </c>
      <c r="D35" s="18"/>
    </row>
    <row r="36" spans="1:4" x14ac:dyDescent="0.2">
      <c r="A36" s="1" t="s">
        <v>13</v>
      </c>
      <c r="B36" s="20">
        <v>0.1</v>
      </c>
      <c r="C36" s="18" t="s">
        <v>12</v>
      </c>
      <c r="D36" s="18"/>
    </row>
    <row r="37" spans="1:4" x14ac:dyDescent="0.2">
      <c r="A37" s="8"/>
      <c r="B37" s="18"/>
      <c r="C37" s="18"/>
      <c r="D37" s="18"/>
    </row>
    <row r="38" spans="1:4" x14ac:dyDescent="0.2">
      <c r="A38" s="1" t="s">
        <v>51</v>
      </c>
      <c r="B38" s="19">
        <v>19.75</v>
      </c>
      <c r="C38" s="18"/>
      <c r="D38" s="18"/>
    </row>
    <row r="39" spans="1:4" x14ac:dyDescent="0.2">
      <c r="A39" s="1" t="s">
        <v>50</v>
      </c>
      <c r="B39" s="23">
        <v>3.5000000000000003E-2</v>
      </c>
      <c r="C39" s="18" t="s">
        <v>14</v>
      </c>
      <c r="D39" s="18"/>
    </row>
    <row r="40" spans="1:4" x14ac:dyDescent="0.2">
      <c r="A40" s="1" t="s">
        <v>49</v>
      </c>
      <c r="B40" s="23">
        <v>2.5000000000000001E-2</v>
      </c>
      <c r="C40" s="18" t="s">
        <v>46</v>
      </c>
      <c r="D40" s="18"/>
    </row>
    <row r="41" spans="1:4" x14ac:dyDescent="0.2">
      <c r="A41" s="1"/>
      <c r="B41" s="18"/>
      <c r="C41" s="18"/>
      <c r="D41" s="18"/>
    </row>
    <row r="42" spans="1:4" x14ac:dyDescent="0.2">
      <c r="A42" s="1" t="s">
        <v>52</v>
      </c>
      <c r="B42" s="23">
        <v>2.5000000000000001E-2</v>
      </c>
      <c r="C42" s="18" t="s">
        <v>15</v>
      </c>
      <c r="D42" s="18"/>
    </row>
    <row r="43" spans="1:4" x14ac:dyDescent="0.2">
      <c r="A43" s="1" t="s">
        <v>53</v>
      </c>
      <c r="B43" s="20">
        <v>0.25</v>
      </c>
      <c r="C43" s="18" t="s">
        <v>16</v>
      </c>
      <c r="D43" s="18"/>
    </row>
    <row r="44" spans="1:4" x14ac:dyDescent="0.2">
      <c r="A44" s="1"/>
      <c r="B44" s="18"/>
      <c r="C44" s="18"/>
      <c r="D44" s="18"/>
    </row>
    <row r="45" spans="1:4" x14ac:dyDescent="0.2">
      <c r="A45" s="1" t="s">
        <v>17</v>
      </c>
      <c r="B45" s="18">
        <v>450000</v>
      </c>
      <c r="C45" s="18" t="s">
        <v>18</v>
      </c>
      <c r="D45" s="18"/>
    </row>
    <row r="46" spans="1:4" x14ac:dyDescent="0.2">
      <c r="A46" s="1"/>
      <c r="B46" s="18"/>
      <c r="C46" s="18"/>
      <c r="D46" s="18"/>
    </row>
    <row r="47" spans="1:4" x14ac:dyDescent="0.2">
      <c r="A47" s="1" t="s">
        <v>19</v>
      </c>
      <c r="B47" s="18">
        <v>39</v>
      </c>
      <c r="C47" s="18" t="s">
        <v>20</v>
      </c>
      <c r="D47" s="18"/>
    </row>
    <row r="48" spans="1:4" x14ac:dyDescent="0.2">
      <c r="A48" s="1" t="s">
        <v>21</v>
      </c>
      <c r="B48" s="20">
        <v>0.8</v>
      </c>
      <c r="C48" s="18" t="s">
        <v>22</v>
      </c>
      <c r="D48" s="18"/>
    </row>
    <row r="49" spans="1:4" x14ac:dyDescent="0.2">
      <c r="A49" s="1"/>
      <c r="B49" s="18"/>
      <c r="C49" s="18"/>
      <c r="D49" s="18"/>
    </row>
    <row r="50" spans="1:4" x14ac:dyDescent="0.2">
      <c r="A50" s="1" t="s">
        <v>74</v>
      </c>
      <c r="B50" s="20">
        <v>0.75</v>
      </c>
      <c r="C50" s="18"/>
      <c r="D50" s="18"/>
    </row>
    <row r="51" spans="1:4" x14ac:dyDescent="0.2">
      <c r="A51" s="1" t="s">
        <v>23</v>
      </c>
      <c r="B51" s="21">
        <v>8.5000000000000006E-2</v>
      </c>
      <c r="C51" s="18"/>
      <c r="D51" s="18"/>
    </row>
    <row r="52" spans="1:4" x14ac:dyDescent="0.2">
      <c r="A52" s="1" t="s">
        <v>24</v>
      </c>
      <c r="B52" s="20">
        <v>0.1</v>
      </c>
      <c r="C52" s="18"/>
      <c r="D52" s="18"/>
    </row>
    <row r="53" spans="1:4" x14ac:dyDescent="0.2">
      <c r="A53" s="1" t="s">
        <v>25</v>
      </c>
      <c r="B53" s="20">
        <v>0.02</v>
      </c>
      <c r="C53" s="18" t="s">
        <v>26</v>
      </c>
      <c r="D53" s="18"/>
    </row>
    <row r="54" spans="1:4" x14ac:dyDescent="0.2">
      <c r="A54" s="1"/>
      <c r="B54" s="18"/>
      <c r="C54" s="18"/>
      <c r="D54" s="18"/>
    </row>
    <row r="55" spans="1:4" x14ac:dyDescent="0.2">
      <c r="A55" s="1" t="s">
        <v>27</v>
      </c>
      <c r="B55" s="18">
        <v>5</v>
      </c>
      <c r="C55" s="18" t="s">
        <v>28</v>
      </c>
      <c r="D55" s="18"/>
    </row>
    <row r="56" spans="1:4" x14ac:dyDescent="0.2">
      <c r="A56" s="1"/>
      <c r="B56" s="18"/>
      <c r="C56" s="18"/>
      <c r="D56" s="18"/>
    </row>
    <row r="57" spans="1:4" x14ac:dyDescent="0.2">
      <c r="A57" s="1" t="s">
        <v>29</v>
      </c>
      <c r="B57" s="20">
        <v>0.35</v>
      </c>
      <c r="C57" s="18"/>
      <c r="D57" s="18"/>
    </row>
    <row r="58" spans="1:4" x14ac:dyDescent="0.2">
      <c r="A58" s="1" t="s">
        <v>30</v>
      </c>
      <c r="B58" s="20">
        <v>0.17</v>
      </c>
      <c r="C58" s="18"/>
      <c r="D58" s="18"/>
    </row>
    <row r="59" spans="1:4" x14ac:dyDescent="0.2">
      <c r="A59" s="1"/>
      <c r="B59" s="18"/>
      <c r="C59" s="18"/>
      <c r="D59" s="18"/>
    </row>
    <row r="60" spans="1:4" x14ac:dyDescent="0.2">
      <c r="A60" s="1" t="s">
        <v>31</v>
      </c>
      <c r="B60" s="18"/>
      <c r="C60" s="18"/>
      <c r="D60" s="18"/>
    </row>
    <row r="61" spans="1:4" x14ac:dyDescent="0.2">
      <c r="A61" s="1"/>
      <c r="B61" s="18"/>
      <c r="C61" s="18"/>
      <c r="D61" s="18"/>
    </row>
    <row r="62" spans="1:4" x14ac:dyDescent="0.2">
      <c r="A62" s="8"/>
      <c r="B62" s="18"/>
      <c r="C62" s="18"/>
      <c r="D62" s="18"/>
    </row>
    <row r="63" spans="1:4" x14ac:dyDescent="0.2">
      <c r="B63" s="24"/>
      <c r="C63" s="24"/>
      <c r="D63" s="24"/>
    </row>
    <row r="64" spans="1:4" x14ac:dyDescent="0.2">
      <c r="A64" s="1"/>
      <c r="B64" s="18"/>
      <c r="C64" s="18"/>
      <c r="D64" s="18"/>
    </row>
    <row r="65" spans="1:4" x14ac:dyDescent="0.2">
      <c r="A65" s="1"/>
      <c r="B65" s="18"/>
      <c r="C65" s="18"/>
      <c r="D65" s="18"/>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election activeCell="B17" sqref="B17"/>
    </sheetView>
  </sheetViews>
  <sheetFormatPr baseColWidth="10" defaultColWidth="8.83203125" defaultRowHeight="15" x14ac:dyDescent="0.2"/>
  <cols>
    <col min="1" max="1" width="27.1640625" customWidth="1"/>
    <col min="2" max="2" width="27.5" style="39" customWidth="1"/>
  </cols>
  <sheetData>
    <row r="1" spans="1:2" x14ac:dyDescent="0.2">
      <c r="A1" t="s">
        <v>70</v>
      </c>
      <c r="B1" s="39" t="s">
        <v>73</v>
      </c>
    </row>
    <row r="2" spans="1:2" x14ac:dyDescent="0.2">
      <c r="A2">
        <v>0</v>
      </c>
      <c r="B2" s="39">
        <v>19.75</v>
      </c>
    </row>
    <row r="3" spans="1:2" x14ac:dyDescent="0.2">
      <c r="A3">
        <v>1</v>
      </c>
      <c r="B3" s="39">
        <f>96.5%*B2</f>
        <v>19.05875</v>
      </c>
    </row>
    <row r="4" spans="1:2" x14ac:dyDescent="0.2">
      <c r="A4">
        <v>2</v>
      </c>
      <c r="B4" s="39">
        <f>96.5%*B3</f>
        <v>18.391693749999998</v>
      </c>
    </row>
    <row r="5" spans="1:2" x14ac:dyDescent="0.2">
      <c r="A5">
        <v>3</v>
      </c>
      <c r="B5" s="39">
        <f>96.5%*B4</f>
        <v>17.747984468749998</v>
      </c>
    </row>
    <row r="6" spans="1:2" x14ac:dyDescent="0.2">
      <c r="A6">
        <v>4</v>
      </c>
      <c r="B6" s="39">
        <f>102.5%*B5</f>
        <v>18.191684080468747</v>
      </c>
    </row>
    <row r="7" spans="1:2" x14ac:dyDescent="0.2">
      <c r="A7">
        <v>5</v>
      </c>
      <c r="B7" s="39">
        <f>102.5%*B6</f>
        <v>18.646476182480463</v>
      </c>
    </row>
    <row r="8" spans="1:2" x14ac:dyDescent="0.2">
      <c r="A8">
        <v>6</v>
      </c>
      <c r="B8" s="39">
        <f>102.5%*B7</f>
        <v>19.112638087042473</v>
      </c>
    </row>
    <row r="9" spans="1:2" x14ac:dyDescent="0.2">
      <c r="A9">
        <v>7</v>
      </c>
      <c r="B9" s="39">
        <f>102.5%*B8</f>
        <v>19.590454039218532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
  <sheetViews>
    <sheetView workbookViewId="0">
      <selection activeCell="B8" sqref="B8"/>
    </sheetView>
  </sheetViews>
  <sheetFormatPr baseColWidth="10" defaultColWidth="8.83203125" defaultRowHeight="15" x14ac:dyDescent="0.2"/>
  <cols>
    <col min="1" max="1" width="39.33203125" customWidth="1"/>
    <col min="2" max="2" width="18.33203125" customWidth="1"/>
    <col min="3" max="3" width="18.6640625" bestFit="1" customWidth="1"/>
    <col min="4" max="4" width="20.83203125" bestFit="1" customWidth="1"/>
    <col min="5" max="5" width="19.83203125" customWidth="1"/>
  </cols>
  <sheetData>
    <row r="1" spans="1:4" x14ac:dyDescent="0.2">
      <c r="A1" s="34" t="s">
        <v>75</v>
      </c>
    </row>
    <row r="3" spans="1:4" x14ac:dyDescent="0.2">
      <c r="A3" t="s">
        <v>76</v>
      </c>
      <c r="B3" s="39">
        <f>Info!B7*Info!B5</f>
        <v>8152650</v>
      </c>
    </row>
    <row r="5" spans="1:4" x14ac:dyDescent="0.2">
      <c r="A5" t="s">
        <v>77</v>
      </c>
      <c r="B5" s="40">
        <f>B3*Info!B50</f>
        <v>6114487.5</v>
      </c>
      <c r="C5" s="40"/>
    </row>
    <row r="7" spans="1:4" x14ac:dyDescent="0.2">
      <c r="A7" t="s">
        <v>123</v>
      </c>
      <c r="B7" s="40">
        <f>B3-B5</f>
        <v>2038162.5</v>
      </c>
    </row>
    <row r="9" spans="1:4" x14ac:dyDescent="0.2">
      <c r="A9" t="s">
        <v>71</v>
      </c>
      <c r="B9" s="33">
        <v>7.4999999999999997E-2</v>
      </c>
    </row>
    <row r="11" spans="1:4" x14ac:dyDescent="0.2">
      <c r="A11" t="s">
        <v>78</v>
      </c>
      <c r="B11" s="41">
        <f>((1+(7.5%/12))^12)-1</f>
        <v>7.7632598856030688E-2</v>
      </c>
    </row>
    <row r="13" spans="1:4" x14ac:dyDescent="0.2">
      <c r="A13" t="s">
        <v>79</v>
      </c>
      <c r="B13">
        <f>((B11*(1+B11)^30)/((1+B11)^30-1))</f>
        <v>8.6850943130871092E-2</v>
      </c>
    </row>
    <row r="15" spans="1:4" s="36" customFormat="1" x14ac:dyDescent="0.2">
      <c r="A15" s="67" t="s">
        <v>80</v>
      </c>
      <c r="B15" s="68">
        <f>B13*B5</f>
        <v>531049.00613692217</v>
      </c>
      <c r="C15" s="69" t="s">
        <v>126</v>
      </c>
      <c r="D15" s="69"/>
    </row>
    <row r="16" spans="1:4" x14ac:dyDescent="0.2">
      <c r="A16" s="34"/>
      <c r="B16" s="44"/>
    </row>
    <row r="17" spans="1:7" x14ac:dyDescent="0.2">
      <c r="A17" s="34" t="s">
        <v>124</v>
      </c>
      <c r="B17" s="44">
        <f>B7+(B15*5)</f>
        <v>4693407.5306846108</v>
      </c>
    </row>
    <row r="18" spans="1:7" x14ac:dyDescent="0.2">
      <c r="A18" s="34"/>
      <c r="B18" s="44"/>
    </row>
    <row r="19" spans="1:7" x14ac:dyDescent="0.2">
      <c r="A19" s="34"/>
      <c r="B19" s="44"/>
    </row>
    <row r="20" spans="1:7" x14ac:dyDescent="0.2">
      <c r="A20" s="35" t="s">
        <v>118</v>
      </c>
      <c r="B20" s="44"/>
    </row>
    <row r="21" spans="1:7" x14ac:dyDescent="0.2">
      <c r="A21" s="34"/>
      <c r="B21" s="44"/>
    </row>
    <row r="22" spans="1:7" s="57" customFormat="1" x14ac:dyDescent="0.2">
      <c r="A22" s="35" t="s">
        <v>70</v>
      </c>
      <c r="B22" s="56" t="s">
        <v>119</v>
      </c>
      <c r="C22" s="74" t="s">
        <v>120</v>
      </c>
      <c r="D22" s="35" t="s">
        <v>121</v>
      </c>
      <c r="E22" s="35" t="s">
        <v>122</v>
      </c>
    </row>
    <row r="23" spans="1:7" x14ac:dyDescent="0.2">
      <c r="A23" s="58">
        <v>0</v>
      </c>
      <c r="B23" s="59">
        <f t="shared" ref="B23:B28" si="0">D23-C23</f>
        <v>56365.450839208206</v>
      </c>
      <c r="C23" s="75">
        <f>B11*B5</f>
        <v>474683.55529771396</v>
      </c>
      <c r="D23" s="40">
        <f>B15</f>
        <v>531049.00613692217</v>
      </c>
      <c r="E23" s="40">
        <f>B5-B23</f>
        <v>6058122.0491607916</v>
      </c>
      <c r="G23" s="36" t="s">
        <v>131</v>
      </c>
    </row>
    <row r="24" spans="1:7" x14ac:dyDescent="0.2">
      <c r="A24" s="58">
        <v>1</v>
      </c>
      <c r="B24" s="59">
        <f t="shared" si="0"/>
        <v>60741.247273547808</v>
      </c>
      <c r="C24" s="75">
        <f>B11*E23</f>
        <v>470307.75886337436</v>
      </c>
      <c r="D24" s="40">
        <f>B15</f>
        <v>531049.00613692217</v>
      </c>
      <c r="E24" s="40">
        <f>E23-B24</f>
        <v>5997380.801887244</v>
      </c>
    </row>
    <row r="25" spans="1:7" x14ac:dyDescent="0.2">
      <c r="A25" s="58">
        <v>2</v>
      </c>
      <c r="B25" s="59">
        <f t="shared" si="0"/>
        <v>65456.748157150112</v>
      </c>
      <c r="C25" s="75">
        <f>B11*E24</f>
        <v>465592.25797977205</v>
      </c>
      <c r="D25" s="40">
        <f>B15</f>
        <v>531049.00613692217</v>
      </c>
      <c r="E25" s="40">
        <f>E24-B25</f>
        <v>5931924.0537300939</v>
      </c>
    </row>
    <row r="26" spans="1:7" x14ac:dyDescent="0.2">
      <c r="A26" s="58">
        <v>3</v>
      </c>
      <c r="B26" s="59">
        <f t="shared" si="0"/>
        <v>70538.325629254337</v>
      </c>
      <c r="C26" s="75">
        <f>B11*E25</f>
        <v>460510.68050766783</v>
      </c>
      <c r="D26" s="40">
        <f>B15</f>
        <v>531049.00613692217</v>
      </c>
      <c r="E26" s="40">
        <f>E25-B26</f>
        <v>5861385.72810084</v>
      </c>
    </row>
    <row r="27" spans="1:7" x14ac:dyDescent="0.2">
      <c r="A27" s="58">
        <v>4</v>
      </c>
      <c r="B27" s="59">
        <f t="shared" si="0"/>
        <v>76014.39916680631</v>
      </c>
      <c r="C27" s="75">
        <f>B11*E26</f>
        <v>455034.60697011586</v>
      </c>
      <c r="D27" s="40">
        <f>B15</f>
        <v>531049.00613692217</v>
      </c>
      <c r="E27" s="40">
        <f>E26-B27</f>
        <v>5785371.3289340334</v>
      </c>
    </row>
    <row r="28" spans="1:7" x14ac:dyDescent="0.2">
      <c r="A28" s="58">
        <v>5</v>
      </c>
      <c r="B28" s="59">
        <f t="shared" si="0"/>
        <v>81915.5945246052</v>
      </c>
      <c r="C28" s="75">
        <f>B11*E27</f>
        <v>449133.41161231697</v>
      </c>
      <c r="D28" s="40">
        <f>B15</f>
        <v>531049.00613692217</v>
      </c>
      <c r="E28" s="40">
        <f>E27-B28</f>
        <v>5703455.7344094282</v>
      </c>
    </row>
    <row r="31" spans="1:7" x14ac:dyDescent="0.2">
      <c r="A31" s="34" t="s">
        <v>115</v>
      </c>
    </row>
    <row r="32" spans="1:7" x14ac:dyDescent="0.2">
      <c r="A32" s="34"/>
    </row>
    <row r="33" spans="1:7" x14ac:dyDescent="0.2">
      <c r="A33" t="s">
        <v>116</v>
      </c>
    </row>
    <row r="34" spans="1:7" x14ac:dyDescent="0.2">
      <c r="A34" t="s">
        <v>70</v>
      </c>
      <c r="B34" t="s">
        <v>112</v>
      </c>
      <c r="C34" t="s">
        <v>113</v>
      </c>
      <c r="D34" t="s">
        <v>117</v>
      </c>
      <c r="E34" t="s">
        <v>114</v>
      </c>
    </row>
    <row r="35" spans="1:7" x14ac:dyDescent="0.2">
      <c r="A35">
        <v>0</v>
      </c>
      <c r="B35" s="40">
        <f>'Building Purchase&amp;Depreciation'!B3</f>
        <v>8152650</v>
      </c>
      <c r="C35" s="39">
        <v>150000</v>
      </c>
      <c r="D35" s="39">
        <v>0</v>
      </c>
      <c r="E35" s="40">
        <f>B35+C35</f>
        <v>8302650</v>
      </c>
      <c r="G35" s="67" t="s">
        <v>128</v>
      </c>
    </row>
    <row r="36" spans="1:7" x14ac:dyDescent="0.2">
      <c r="A36">
        <v>1</v>
      </c>
      <c r="B36" s="40">
        <f>99.5%*E35</f>
        <v>8261136.75</v>
      </c>
      <c r="C36" s="39">
        <v>150000</v>
      </c>
      <c r="D36" s="39">
        <f>E35-B36</f>
        <v>41513.25</v>
      </c>
      <c r="E36" s="40">
        <f t="shared" ref="E36:E40" si="1">B36+C36</f>
        <v>8411136.75</v>
      </c>
      <c r="G36" s="67" t="s">
        <v>129</v>
      </c>
    </row>
    <row r="37" spans="1:7" x14ac:dyDescent="0.2">
      <c r="A37">
        <v>2</v>
      </c>
      <c r="B37" s="40">
        <f>99.5%*E36</f>
        <v>8369081.0662500001</v>
      </c>
      <c r="C37" s="39">
        <v>150000</v>
      </c>
      <c r="D37" s="39">
        <f>E36-B37</f>
        <v>42055.683749999851</v>
      </c>
      <c r="E37" s="40">
        <f t="shared" si="1"/>
        <v>8519081.0662500001</v>
      </c>
    </row>
    <row r="38" spans="1:7" x14ac:dyDescent="0.2">
      <c r="A38">
        <v>3</v>
      </c>
      <c r="B38" s="40">
        <f>99.5%*E37</f>
        <v>8476485.6609187499</v>
      </c>
      <c r="C38" s="39">
        <v>0</v>
      </c>
      <c r="D38" s="39">
        <f>E37-B38</f>
        <v>42595.40533125028</v>
      </c>
      <c r="E38" s="40">
        <f t="shared" si="1"/>
        <v>8476485.6609187499</v>
      </c>
    </row>
    <row r="39" spans="1:7" x14ac:dyDescent="0.2">
      <c r="A39">
        <v>4</v>
      </c>
      <c r="B39" s="40">
        <f>99.5%*E38</f>
        <v>8434103.2326141559</v>
      </c>
      <c r="C39" s="39">
        <v>0</v>
      </c>
      <c r="D39" s="39">
        <f>E38-B39</f>
        <v>42382.42830459401</v>
      </c>
      <c r="E39" s="40">
        <f t="shared" si="1"/>
        <v>8434103.2326141559</v>
      </c>
    </row>
    <row r="40" spans="1:7" x14ac:dyDescent="0.2">
      <c r="A40">
        <v>5</v>
      </c>
      <c r="B40" s="40">
        <f>99.5%*E39</f>
        <v>8391932.7164510842</v>
      </c>
      <c r="C40" s="39">
        <v>0</v>
      </c>
      <c r="D40" s="39">
        <f>E39-B40</f>
        <v>42170.516163071617</v>
      </c>
      <c r="E40" s="40">
        <f t="shared" si="1"/>
        <v>8391932.7164510842</v>
      </c>
    </row>
  </sheetData>
  <pageMargins left="0.7" right="0.7" top="0.75" bottom="0.75" header="0.3" footer="0.3"/>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8"/>
  <sheetViews>
    <sheetView workbookViewId="0">
      <selection activeCell="E13" sqref="E13"/>
    </sheetView>
  </sheetViews>
  <sheetFormatPr baseColWidth="10" defaultColWidth="8.83203125" defaultRowHeight="15" x14ac:dyDescent="0.2"/>
  <cols>
    <col min="1" max="1" width="91.1640625" bestFit="1" customWidth="1"/>
    <col min="2" max="2" width="14" bestFit="1" customWidth="1"/>
    <col min="3" max="3" width="11.5" bestFit="1" customWidth="1"/>
    <col min="4" max="4" width="12.33203125" bestFit="1" customWidth="1"/>
    <col min="5" max="5" width="14" bestFit="1" customWidth="1"/>
  </cols>
  <sheetData>
    <row r="1" spans="1:5" x14ac:dyDescent="0.2">
      <c r="A1" s="1"/>
      <c r="B1" s="18"/>
      <c r="C1" s="18"/>
      <c r="D1" s="18"/>
      <c r="E1" s="1"/>
    </row>
    <row r="2" spans="1:5" x14ac:dyDescent="0.2">
      <c r="A2" s="17" t="s">
        <v>66</v>
      </c>
      <c r="B2" s="25"/>
      <c r="C2" s="18"/>
      <c r="D2" s="18"/>
      <c r="E2" s="1"/>
    </row>
    <row r="3" spans="1:5" x14ac:dyDescent="0.2">
      <c r="B3" s="18"/>
      <c r="C3" s="25"/>
      <c r="D3" s="18"/>
      <c r="E3" s="1"/>
    </row>
    <row r="4" spans="1:5" x14ac:dyDescent="0.2">
      <c r="A4" s="9" t="s">
        <v>65</v>
      </c>
      <c r="B4" s="26" t="s">
        <v>3</v>
      </c>
      <c r="C4" s="26" t="s">
        <v>7</v>
      </c>
      <c r="D4" s="26" t="s">
        <v>9</v>
      </c>
      <c r="E4" s="11" t="s">
        <v>61</v>
      </c>
    </row>
    <row r="5" spans="1:5" x14ac:dyDescent="0.2">
      <c r="A5" s="11" t="s">
        <v>57</v>
      </c>
      <c r="B5" s="26"/>
      <c r="C5" s="26"/>
      <c r="D5" s="26"/>
      <c r="E5" s="10"/>
    </row>
    <row r="6" spans="1:5" x14ac:dyDescent="0.2">
      <c r="A6" s="10" t="s">
        <v>4</v>
      </c>
      <c r="B6" s="27">
        <v>24156</v>
      </c>
      <c r="C6" s="27">
        <v>10266</v>
      </c>
      <c r="D6" s="27">
        <v>25968</v>
      </c>
      <c r="E6" s="12">
        <f>SUM(B6:D6)</f>
        <v>60390</v>
      </c>
    </row>
    <row r="7" spans="1:5" x14ac:dyDescent="0.2">
      <c r="A7" s="10" t="s">
        <v>5</v>
      </c>
      <c r="B7" s="27">
        <v>25</v>
      </c>
      <c r="C7" s="27">
        <v>23.5</v>
      </c>
      <c r="D7" s="27">
        <v>22</v>
      </c>
      <c r="E7" s="12">
        <f>SUM(B7:D7)</f>
        <v>70.5</v>
      </c>
    </row>
    <row r="8" spans="1:5" x14ac:dyDescent="0.2">
      <c r="A8" s="10" t="s">
        <v>63</v>
      </c>
      <c r="B8" s="27">
        <f>B6*B7</f>
        <v>603900</v>
      </c>
      <c r="C8" s="27">
        <f>C6*C7</f>
        <v>241251</v>
      </c>
      <c r="D8" s="27">
        <f>D6*D7</f>
        <v>571296</v>
      </c>
      <c r="E8" s="12">
        <f>SUM(B8:D8)</f>
        <v>1416447</v>
      </c>
    </row>
    <row r="9" spans="1:5" x14ac:dyDescent="0.2">
      <c r="A9" s="10"/>
      <c r="B9" s="27"/>
      <c r="C9" s="27"/>
      <c r="D9" s="27"/>
      <c r="E9" s="12"/>
    </row>
    <row r="10" spans="1:5" x14ac:dyDescent="0.2">
      <c r="A10" s="11" t="s">
        <v>58</v>
      </c>
      <c r="B10" s="27"/>
      <c r="C10" s="27"/>
      <c r="D10" s="27"/>
      <c r="E10" s="12"/>
    </row>
    <row r="11" spans="1:5" x14ac:dyDescent="0.2">
      <c r="A11" s="10" t="s">
        <v>59</v>
      </c>
      <c r="B11" s="28">
        <f>-8.5*B6</f>
        <v>-205326</v>
      </c>
      <c r="C11" s="28">
        <f>-8.5*C6</f>
        <v>-87261</v>
      </c>
      <c r="D11" s="28">
        <f>-8.5*D6</f>
        <v>-220728</v>
      </c>
      <c r="E11" s="13">
        <f>-8.5*E6</f>
        <v>-513315</v>
      </c>
    </row>
    <row r="12" spans="1:5" x14ac:dyDescent="0.2">
      <c r="A12" s="10" t="s">
        <v>68</v>
      </c>
      <c r="B12" s="28">
        <f>-50000</f>
        <v>-50000</v>
      </c>
      <c r="C12" s="28">
        <v>-50000</v>
      </c>
      <c r="D12" s="28">
        <v>-50000</v>
      </c>
      <c r="E12" s="12">
        <f>SUM(B12:D12)</f>
        <v>-150000</v>
      </c>
    </row>
    <row r="13" spans="1:5" x14ac:dyDescent="0.2">
      <c r="A13" s="10" t="s">
        <v>81</v>
      </c>
      <c r="B13" s="28"/>
      <c r="C13" s="28"/>
      <c r="D13" s="28"/>
      <c r="E13" s="12">
        <f>-'Building Purchase&amp;Depreciation'!B15</f>
        <v>-531049.00613692217</v>
      </c>
    </row>
    <row r="14" spans="1:5" x14ac:dyDescent="0.2">
      <c r="A14" s="10" t="s">
        <v>64</v>
      </c>
      <c r="B14" s="28"/>
      <c r="C14" s="28"/>
      <c r="D14" s="28"/>
      <c r="E14" s="12">
        <f>SUM(E11:E13)</f>
        <v>-1194364.0061369222</v>
      </c>
    </row>
    <row r="15" spans="1:5" x14ac:dyDescent="0.2">
      <c r="A15" s="10"/>
      <c r="B15" s="28"/>
      <c r="C15" s="28"/>
      <c r="D15" s="28"/>
      <c r="E15" s="12"/>
    </row>
    <row r="16" spans="1:5" x14ac:dyDescent="0.2">
      <c r="A16" s="14" t="s">
        <v>60</v>
      </c>
      <c r="B16" s="28"/>
      <c r="C16" s="28"/>
      <c r="D16" s="28"/>
      <c r="E16" s="12">
        <f>E8+E14</f>
        <v>222082.99386307783</v>
      </c>
    </row>
    <row r="17" spans="1:10" x14ac:dyDescent="0.2">
      <c r="A17" s="15"/>
      <c r="B17" s="28"/>
      <c r="C17" s="28"/>
      <c r="D17" s="28"/>
      <c r="E17" s="12"/>
    </row>
    <row r="18" spans="1:10" x14ac:dyDescent="0.2">
      <c r="A18" s="10"/>
      <c r="B18" s="28"/>
      <c r="C18" s="28"/>
      <c r="D18" s="28"/>
      <c r="E18" s="12"/>
    </row>
    <row r="19" spans="1:10" x14ac:dyDescent="0.2">
      <c r="A19" s="15"/>
      <c r="B19" s="29"/>
      <c r="C19" s="29"/>
      <c r="D19" s="29"/>
      <c r="E19" s="16"/>
    </row>
    <row r="20" spans="1:10" x14ac:dyDescent="0.2">
      <c r="A20" s="15"/>
      <c r="B20" s="29"/>
      <c r="C20" s="29"/>
      <c r="D20" s="29"/>
      <c r="E20" s="16"/>
    </row>
    <row r="21" spans="1:10" x14ac:dyDescent="0.2">
      <c r="A21" s="9" t="s">
        <v>32</v>
      </c>
      <c r="B21" s="26" t="s">
        <v>3</v>
      </c>
      <c r="C21" s="26" t="s">
        <v>7</v>
      </c>
      <c r="D21" s="26" t="s">
        <v>9</v>
      </c>
      <c r="E21" s="11" t="s">
        <v>61</v>
      </c>
    </row>
    <row r="22" spans="1:10" x14ac:dyDescent="0.2">
      <c r="A22" s="11" t="s">
        <v>57</v>
      </c>
      <c r="B22" s="26"/>
      <c r="C22" s="26"/>
      <c r="D22" s="26"/>
      <c r="E22" s="10"/>
    </row>
    <row r="23" spans="1:10" x14ac:dyDescent="0.2">
      <c r="A23" s="10" t="s">
        <v>4</v>
      </c>
      <c r="B23" s="27">
        <v>24156</v>
      </c>
      <c r="C23" s="27">
        <v>10266</v>
      </c>
      <c r="D23" s="27">
        <v>25968</v>
      </c>
      <c r="E23" s="12">
        <f>SUM(B23:D23)</f>
        <v>60390</v>
      </c>
    </row>
    <row r="24" spans="1:10" x14ac:dyDescent="0.2">
      <c r="A24" s="10" t="s">
        <v>5</v>
      </c>
      <c r="B24" s="27">
        <v>25</v>
      </c>
      <c r="C24" s="27">
        <f>23.5*102.5%</f>
        <v>24.087499999999999</v>
      </c>
      <c r="D24" s="27">
        <f>22+2</f>
        <v>24</v>
      </c>
      <c r="E24" s="12">
        <f>SUM(B24:D24)</f>
        <v>73.087500000000006</v>
      </c>
    </row>
    <row r="25" spans="1:10" x14ac:dyDescent="0.2">
      <c r="A25" s="10" t="s">
        <v>63</v>
      </c>
      <c r="B25" s="27">
        <f>B23*B24</f>
        <v>603900</v>
      </c>
      <c r="C25" s="27">
        <f>C23*C24</f>
        <v>247282.27499999999</v>
      </c>
      <c r="D25" s="27">
        <f>D23*D24</f>
        <v>623232</v>
      </c>
      <c r="E25" s="12">
        <f>SUM(B25:D25)</f>
        <v>1474414.2749999999</v>
      </c>
    </row>
    <row r="26" spans="1:10" x14ac:dyDescent="0.2">
      <c r="A26" s="10"/>
      <c r="B26" s="27"/>
      <c r="C26" s="27"/>
      <c r="D26" s="27"/>
      <c r="E26" s="12"/>
    </row>
    <row r="27" spans="1:10" x14ac:dyDescent="0.2">
      <c r="A27" s="11" t="s">
        <v>58</v>
      </c>
      <c r="B27" s="27"/>
      <c r="C27" s="27"/>
      <c r="D27" s="27"/>
      <c r="E27" s="12"/>
    </row>
    <row r="28" spans="1:10" s="42" customFormat="1" x14ac:dyDescent="0.2">
      <c r="A28" s="10" t="s">
        <v>59</v>
      </c>
      <c r="B28" s="28">
        <f>-8.5*102.5%*25%*B23</f>
        <v>-52614.787499999991</v>
      </c>
      <c r="C28" s="28">
        <f>-8.5*102.5%*25%*C23</f>
        <v>-22360.631249999995</v>
      </c>
      <c r="D28" s="28">
        <f>-8.5*102.5%*25%*D23</f>
        <v>-56561.549999999988</v>
      </c>
      <c r="E28" s="13">
        <f>-8.5*102.5%*25%*E23</f>
        <v>-131536.96874999997</v>
      </c>
      <c r="J28" s="43"/>
    </row>
    <row r="29" spans="1:10" x14ac:dyDescent="0.2">
      <c r="A29" s="10" t="s">
        <v>68</v>
      </c>
      <c r="B29" s="28">
        <f>-50000</f>
        <v>-50000</v>
      </c>
      <c r="C29" s="28">
        <v>-50000</v>
      </c>
      <c r="D29" s="28">
        <v>-50000</v>
      </c>
      <c r="E29" s="12">
        <f>SUM(B29:D29)</f>
        <v>-150000</v>
      </c>
    </row>
    <row r="30" spans="1:10" x14ac:dyDescent="0.2">
      <c r="A30" s="10" t="s">
        <v>81</v>
      </c>
      <c r="B30" s="28"/>
      <c r="C30" s="28"/>
      <c r="D30" s="28"/>
      <c r="E30" s="12">
        <f>-'Building Purchase&amp;Depreciation'!B15</f>
        <v>-531049.00613692217</v>
      </c>
    </row>
    <row r="31" spans="1:10" x14ac:dyDescent="0.2">
      <c r="A31" s="10" t="s">
        <v>64</v>
      </c>
      <c r="B31" s="28"/>
      <c r="C31" s="28"/>
      <c r="D31" s="28"/>
      <c r="E31" s="12">
        <f>SUM(E28:E30)</f>
        <v>-812585.97488692217</v>
      </c>
      <c r="F31" s="36"/>
    </row>
    <row r="32" spans="1:10" x14ac:dyDescent="0.2">
      <c r="A32" s="10"/>
      <c r="B32" s="28"/>
      <c r="C32" s="28"/>
      <c r="D32" s="28"/>
      <c r="E32" s="12"/>
      <c r="F32" s="36"/>
    </row>
    <row r="33" spans="1:6" x14ac:dyDescent="0.2">
      <c r="A33" s="14" t="s">
        <v>60</v>
      </c>
      <c r="B33" s="28"/>
      <c r="C33" s="28"/>
      <c r="D33" s="28"/>
      <c r="E33" s="12">
        <f>E25+E31</f>
        <v>661828.30011307774</v>
      </c>
    </row>
    <row r="34" spans="1:6" x14ac:dyDescent="0.2">
      <c r="A34" s="15"/>
      <c r="B34" s="28"/>
      <c r="C34" s="28"/>
      <c r="D34" s="28"/>
      <c r="E34" s="12"/>
    </row>
    <row r="35" spans="1:6" x14ac:dyDescent="0.2">
      <c r="A35" s="10"/>
      <c r="B35" s="28"/>
      <c r="C35" s="28"/>
      <c r="D35" s="28"/>
      <c r="E35" s="12"/>
    </row>
    <row r="36" spans="1:6" x14ac:dyDescent="0.2">
      <c r="A36" s="15"/>
      <c r="B36" s="29"/>
      <c r="C36" s="29"/>
      <c r="D36" s="29"/>
      <c r="E36" s="16"/>
    </row>
    <row r="37" spans="1:6" x14ac:dyDescent="0.2">
      <c r="A37" s="15"/>
      <c r="B37" s="29"/>
      <c r="C37" s="29"/>
      <c r="D37" s="29"/>
      <c r="E37" s="16"/>
    </row>
    <row r="38" spans="1:6" x14ac:dyDescent="0.2">
      <c r="A38" s="9" t="s">
        <v>33</v>
      </c>
      <c r="B38" s="26" t="s">
        <v>3</v>
      </c>
      <c r="C38" s="26" t="s">
        <v>7</v>
      </c>
      <c r="D38" s="26" t="s">
        <v>9</v>
      </c>
      <c r="E38" s="11" t="s">
        <v>61</v>
      </c>
    </row>
    <row r="39" spans="1:6" x14ac:dyDescent="0.2">
      <c r="A39" s="11" t="s">
        <v>57</v>
      </c>
      <c r="B39" s="26"/>
      <c r="C39" s="26"/>
      <c r="D39" s="26"/>
      <c r="E39" s="10"/>
    </row>
    <row r="40" spans="1:6" x14ac:dyDescent="0.2">
      <c r="A40" s="10" t="s">
        <v>4</v>
      </c>
      <c r="B40" s="27">
        <v>24156</v>
      </c>
      <c r="C40" s="27">
        <v>10266</v>
      </c>
      <c r="D40" s="27">
        <v>25968</v>
      </c>
      <c r="E40" s="12">
        <f>SUM(B40:D40)</f>
        <v>60390</v>
      </c>
    </row>
    <row r="41" spans="1:6" x14ac:dyDescent="0.2">
      <c r="A41" s="10" t="s">
        <v>5</v>
      </c>
      <c r="B41" s="27">
        <f>'Rent Market Project'!B4</f>
        <v>18.391693749999998</v>
      </c>
      <c r="C41" s="27">
        <f>23.5*((102.5%)^2)</f>
        <v>24.689687499999998</v>
      </c>
      <c r="D41" s="27">
        <f>22+2</f>
        <v>24</v>
      </c>
      <c r="E41" s="12">
        <f>SUM(B41:D41)</f>
        <v>67.081381249999993</v>
      </c>
    </row>
    <row r="42" spans="1:6" s="42" customFormat="1" x14ac:dyDescent="0.2">
      <c r="A42" s="10" t="s">
        <v>63</v>
      </c>
      <c r="B42" s="27">
        <f>B40*B41</f>
        <v>444269.75422499998</v>
      </c>
      <c r="C42" s="27">
        <f>C40*C41</f>
        <v>253464.33187499997</v>
      </c>
      <c r="D42" s="27">
        <f>D40*D41</f>
        <v>623232</v>
      </c>
      <c r="E42" s="12">
        <f>SUM(B42:D42)</f>
        <v>1320966.0861</v>
      </c>
    </row>
    <row r="43" spans="1:6" x14ac:dyDescent="0.2">
      <c r="A43" s="10"/>
      <c r="B43" s="27"/>
      <c r="C43" s="27"/>
      <c r="D43" s="27"/>
      <c r="E43" s="12"/>
    </row>
    <row r="44" spans="1:6" x14ac:dyDescent="0.2">
      <c r="A44" s="11" t="s">
        <v>58</v>
      </c>
      <c r="B44" s="27"/>
      <c r="C44" s="27"/>
      <c r="D44" s="27"/>
      <c r="E44" s="12"/>
    </row>
    <row r="45" spans="1:6" x14ac:dyDescent="0.2">
      <c r="A45" s="10" t="s">
        <v>59</v>
      </c>
      <c r="B45" s="28">
        <f>-8.5*((102.5%)^2)*25%*B40</f>
        <v>-53930.157187499994</v>
      </c>
      <c r="C45" s="28">
        <f>-8.5*((102.5%)^2)*25%*C40</f>
        <v>-22919.647031249999</v>
      </c>
      <c r="D45" s="28">
        <f>-8.5*((102.5%)^2)*25%*D40</f>
        <v>-57975.588749999995</v>
      </c>
      <c r="E45" s="13">
        <f>SUM(C45:D45)</f>
        <v>-80895.235781249998</v>
      </c>
      <c r="F45" s="36"/>
    </row>
    <row r="46" spans="1:6" x14ac:dyDescent="0.2">
      <c r="A46" s="10" t="s">
        <v>62</v>
      </c>
      <c r="B46" s="28">
        <f>-5%*B42</f>
        <v>-22213.48771125</v>
      </c>
      <c r="C46" s="28">
        <f>-5%*C42</f>
        <v>-12673.216593749999</v>
      </c>
      <c r="D46" s="28">
        <f>-5%*D42</f>
        <v>-31161.600000000002</v>
      </c>
      <c r="E46" s="13">
        <f>-5%*E42</f>
        <v>-66048.304304999998</v>
      </c>
    </row>
    <row r="47" spans="1:6" x14ac:dyDescent="0.2">
      <c r="A47" s="10" t="s">
        <v>69</v>
      </c>
      <c r="B47" s="28">
        <v>-50000</v>
      </c>
      <c r="C47" s="28">
        <v>-50000</v>
      </c>
      <c r="D47" s="28">
        <v>-50000</v>
      </c>
      <c r="E47" s="12">
        <f>SUM(B47:D47)</f>
        <v>-150000</v>
      </c>
    </row>
    <row r="48" spans="1:6" x14ac:dyDescent="0.2">
      <c r="A48" s="10" t="s">
        <v>81</v>
      </c>
      <c r="B48" s="28"/>
      <c r="C48" s="28"/>
      <c r="D48" s="28"/>
      <c r="E48" s="12">
        <f>-'Building Purchase&amp;Depreciation'!B15</f>
        <v>-531049.00613692217</v>
      </c>
    </row>
    <row r="49" spans="1:5" x14ac:dyDescent="0.2">
      <c r="A49" s="10" t="s">
        <v>64</v>
      </c>
      <c r="B49" s="28"/>
      <c r="C49" s="28"/>
      <c r="D49" s="28"/>
      <c r="E49" s="12">
        <f>SUM(E45:E48)</f>
        <v>-827992.54622317222</v>
      </c>
    </row>
    <row r="50" spans="1:5" x14ac:dyDescent="0.2">
      <c r="A50" s="10"/>
      <c r="B50" s="28"/>
      <c r="C50" s="28"/>
      <c r="D50" s="28"/>
      <c r="E50" s="12"/>
    </row>
    <row r="51" spans="1:5" x14ac:dyDescent="0.2">
      <c r="A51" s="14" t="s">
        <v>60</v>
      </c>
      <c r="B51" s="28"/>
      <c r="C51" s="28"/>
      <c r="D51" s="28"/>
      <c r="E51" s="12">
        <f>E42+E49</f>
        <v>492973.53987682774</v>
      </c>
    </row>
    <row r="52" spans="1:5" x14ac:dyDescent="0.2">
      <c r="A52" s="15"/>
      <c r="B52" s="28"/>
      <c r="C52" s="28"/>
      <c r="D52" s="28"/>
      <c r="E52" s="12"/>
    </row>
    <row r="53" spans="1:5" x14ac:dyDescent="0.2">
      <c r="A53" s="10"/>
      <c r="B53" s="28"/>
      <c r="C53" s="28"/>
      <c r="D53" s="28"/>
      <c r="E53" s="12"/>
    </row>
    <row r="54" spans="1:5" x14ac:dyDescent="0.2">
      <c r="A54" s="15"/>
      <c r="B54" s="29"/>
      <c r="C54" s="29"/>
      <c r="D54" s="29"/>
      <c r="E54" s="16"/>
    </row>
    <row r="55" spans="1:5" x14ac:dyDescent="0.2">
      <c r="A55" s="15"/>
      <c r="B55" s="29"/>
      <c r="C55" s="29"/>
      <c r="D55" s="29"/>
      <c r="E55" s="16"/>
    </row>
    <row r="56" spans="1:5" x14ac:dyDescent="0.2">
      <c r="A56" s="9" t="s">
        <v>34</v>
      </c>
      <c r="B56" s="26" t="s">
        <v>3</v>
      </c>
      <c r="C56" s="26" t="s">
        <v>7</v>
      </c>
      <c r="D56" s="26" t="s">
        <v>9</v>
      </c>
      <c r="E56" s="11" t="s">
        <v>61</v>
      </c>
    </row>
    <row r="57" spans="1:5" x14ac:dyDescent="0.2">
      <c r="A57" s="11" t="s">
        <v>57</v>
      </c>
      <c r="B57" s="26"/>
      <c r="C57" s="26"/>
      <c r="D57" s="26"/>
      <c r="E57" s="10"/>
    </row>
    <row r="58" spans="1:5" x14ac:dyDescent="0.2">
      <c r="A58" s="10" t="s">
        <v>4</v>
      </c>
      <c r="B58" s="27">
        <v>24156</v>
      </c>
      <c r="C58" s="27">
        <v>10266</v>
      </c>
      <c r="D58" s="27">
        <v>25968</v>
      </c>
      <c r="E58" s="12">
        <f>SUM(B58:D58)</f>
        <v>60390</v>
      </c>
    </row>
    <row r="59" spans="1:5" x14ac:dyDescent="0.2">
      <c r="A59" s="10" t="s">
        <v>5</v>
      </c>
      <c r="B59" s="27">
        <f>'Rent Market Project'!B5</f>
        <v>17.747984468749998</v>
      </c>
      <c r="C59" s="27">
        <f>23.5*((102.5%)^3)</f>
        <v>25.306929687499998</v>
      </c>
      <c r="D59" s="27">
        <f>22+2+2</f>
        <v>26</v>
      </c>
      <c r="E59" s="12">
        <f>SUM(B59:D59)</f>
        <v>69.054914156249993</v>
      </c>
    </row>
    <row r="60" spans="1:5" x14ac:dyDescent="0.2">
      <c r="A60" s="10" t="s">
        <v>63</v>
      </c>
      <c r="B60" s="27">
        <f>B58*B59</f>
        <v>428720.31282712496</v>
      </c>
      <c r="C60" s="27">
        <f>C58*C59</f>
        <v>259800.94017187497</v>
      </c>
      <c r="D60" s="27">
        <f>D58*D59</f>
        <v>675168</v>
      </c>
      <c r="E60" s="12">
        <f>SUM(B60:D60)</f>
        <v>1363689.2529989998</v>
      </c>
    </row>
    <row r="61" spans="1:5" x14ac:dyDescent="0.2">
      <c r="A61" s="10"/>
      <c r="B61" s="27"/>
      <c r="C61" s="27"/>
      <c r="D61" s="27"/>
      <c r="E61" s="12"/>
    </row>
    <row r="62" spans="1:5" x14ac:dyDescent="0.2">
      <c r="A62" s="11" t="s">
        <v>58</v>
      </c>
      <c r="B62" s="27"/>
      <c r="C62" s="27"/>
      <c r="D62" s="27"/>
      <c r="E62" s="12"/>
    </row>
    <row r="63" spans="1:5" x14ac:dyDescent="0.2">
      <c r="A63" s="10" t="s">
        <v>59</v>
      </c>
      <c r="B63" s="28">
        <f>-8.5*((102.5%)^3)*25%*B58</f>
        <v>-55278.411117187497</v>
      </c>
      <c r="C63" s="28">
        <f>-8.5*((102.5%)^3)*25%*C58</f>
        <v>-23492.63820703125</v>
      </c>
      <c r="D63" s="28">
        <f>-8.5*((102.5%)^3)*25%*D58</f>
        <v>-59424.97846875</v>
      </c>
      <c r="E63" s="13">
        <f>SUM(C63:D63)</f>
        <v>-82917.616675781246</v>
      </c>
    </row>
    <row r="64" spans="1:5" x14ac:dyDescent="0.2">
      <c r="A64" s="10" t="s">
        <v>62</v>
      </c>
      <c r="B64" s="28">
        <f>-5%*B60</f>
        <v>-21436.015641356251</v>
      </c>
      <c r="C64" s="28">
        <f>-5%*C60</f>
        <v>-12990.047008593749</v>
      </c>
      <c r="D64" s="28">
        <f>-5%*D60</f>
        <v>-33758.400000000001</v>
      </c>
      <c r="E64" s="13">
        <f>-5%*E60</f>
        <v>-68184.462649949986</v>
      </c>
    </row>
    <row r="65" spans="1:6" x14ac:dyDescent="0.2">
      <c r="A65" s="10" t="s">
        <v>81</v>
      </c>
      <c r="B65" s="28"/>
      <c r="C65" s="28"/>
      <c r="D65" s="28"/>
      <c r="E65" s="12">
        <f>-'Building Purchase&amp;Depreciation'!B15</f>
        <v>-531049.00613692217</v>
      </c>
    </row>
    <row r="66" spans="1:6" x14ac:dyDescent="0.2">
      <c r="A66" s="10" t="s">
        <v>64</v>
      </c>
      <c r="B66" s="28"/>
      <c r="C66" s="28"/>
      <c r="D66" s="28"/>
      <c r="E66" s="12">
        <f>SUM(E63:E65)</f>
        <v>-682151.08546265343</v>
      </c>
    </row>
    <row r="67" spans="1:6" x14ac:dyDescent="0.2">
      <c r="A67" s="10"/>
      <c r="B67" s="28"/>
      <c r="C67" s="28"/>
      <c r="D67" s="28"/>
      <c r="E67" s="12"/>
    </row>
    <row r="68" spans="1:6" x14ac:dyDescent="0.2">
      <c r="A68" s="14" t="s">
        <v>60</v>
      </c>
      <c r="B68" s="28"/>
      <c r="C68" s="28"/>
      <c r="D68" s="28"/>
      <c r="E68" s="12">
        <f>E60+E66</f>
        <v>681538.16753634636</v>
      </c>
    </row>
    <row r="69" spans="1:6" x14ac:dyDescent="0.2">
      <c r="A69" s="15"/>
      <c r="B69" s="28"/>
      <c r="C69" s="28"/>
      <c r="D69" s="28"/>
      <c r="E69" s="12"/>
    </row>
    <row r="70" spans="1:6" x14ac:dyDescent="0.2">
      <c r="A70" s="10"/>
      <c r="B70" s="28"/>
      <c r="C70" s="28"/>
      <c r="D70" s="28"/>
      <c r="E70" s="12"/>
    </row>
    <row r="71" spans="1:6" x14ac:dyDescent="0.2">
      <c r="A71" s="15"/>
      <c r="B71" s="29"/>
      <c r="C71" s="29"/>
      <c r="D71" s="29"/>
      <c r="E71" s="16"/>
    </row>
    <row r="72" spans="1:6" x14ac:dyDescent="0.2">
      <c r="A72" s="15"/>
      <c r="B72" s="29"/>
      <c r="C72" s="29"/>
      <c r="D72" s="29"/>
      <c r="E72" s="16"/>
    </row>
    <row r="73" spans="1:6" x14ac:dyDescent="0.2">
      <c r="A73" s="9" t="s">
        <v>35</v>
      </c>
      <c r="B73" s="26" t="s">
        <v>3</v>
      </c>
      <c r="C73" s="26" t="s">
        <v>7</v>
      </c>
      <c r="D73" s="26" t="s">
        <v>9</v>
      </c>
      <c r="E73" s="11" t="s">
        <v>61</v>
      </c>
    </row>
    <row r="74" spans="1:6" x14ac:dyDescent="0.2">
      <c r="A74" s="11" t="s">
        <v>57</v>
      </c>
      <c r="B74" s="26"/>
      <c r="C74" s="26"/>
      <c r="D74" s="26"/>
      <c r="E74" s="10"/>
    </row>
    <row r="75" spans="1:6" x14ac:dyDescent="0.2">
      <c r="A75" s="10" t="s">
        <v>4</v>
      </c>
      <c r="B75" s="27">
        <v>24156</v>
      </c>
      <c r="C75" s="27">
        <v>10266</v>
      </c>
      <c r="D75" s="27">
        <v>25968</v>
      </c>
      <c r="E75" s="12">
        <f>SUM(B75:D75)</f>
        <v>60390</v>
      </c>
    </row>
    <row r="76" spans="1:6" x14ac:dyDescent="0.2">
      <c r="A76" s="10" t="s">
        <v>5</v>
      </c>
      <c r="B76" s="27">
        <f>'Rent Market Project'!B6</f>
        <v>18.191684080468747</v>
      </c>
      <c r="C76" s="27">
        <f>'Rent Market Project'!B6</f>
        <v>18.191684080468747</v>
      </c>
      <c r="D76" s="27">
        <f>22+2+2</f>
        <v>26</v>
      </c>
      <c r="E76" s="12">
        <f>SUM(B76:D76)</f>
        <v>62.383368160937493</v>
      </c>
    </row>
    <row r="77" spans="1:6" x14ac:dyDescent="0.2">
      <c r="A77" s="10" t="s">
        <v>63</v>
      </c>
      <c r="B77" s="27">
        <f>B75*B76</f>
        <v>439438.32064780302</v>
      </c>
      <c r="C77" s="27">
        <f>C75*C76</f>
        <v>186755.82877009216</v>
      </c>
      <c r="D77" s="27">
        <f>D75*D76</f>
        <v>675168</v>
      </c>
      <c r="E77" s="12">
        <f>SUM(B77:D77)</f>
        <v>1301362.1494178951</v>
      </c>
      <c r="F77" s="37"/>
    </row>
    <row r="78" spans="1:6" x14ac:dyDescent="0.2">
      <c r="A78" s="10"/>
      <c r="B78" s="27"/>
      <c r="C78" s="27"/>
      <c r="D78" s="27"/>
      <c r="E78" s="12"/>
    </row>
    <row r="79" spans="1:6" x14ac:dyDescent="0.2">
      <c r="A79" s="11" t="s">
        <v>58</v>
      </c>
      <c r="B79" s="27"/>
      <c r="C79" s="27"/>
      <c r="D79" s="27"/>
      <c r="E79" s="12"/>
    </row>
    <row r="80" spans="1:6" x14ac:dyDescent="0.2">
      <c r="A80" s="10" t="s">
        <v>59</v>
      </c>
      <c r="B80" s="28">
        <f>-8.5*((102.5%)^3)*25%*B75</f>
        <v>-55278.411117187497</v>
      </c>
      <c r="C80" s="28">
        <f>-8.5*((102.5%)^3)*25%*C75</f>
        <v>-23492.63820703125</v>
      </c>
      <c r="D80" s="28">
        <f>-8.5*((102.5%)^3)*25%*D75</f>
        <v>-59424.97846875</v>
      </c>
      <c r="E80" s="13">
        <f>SUM(B80:D80)</f>
        <v>-138196.02779296876</v>
      </c>
    </row>
    <row r="81" spans="1:5" x14ac:dyDescent="0.2">
      <c r="A81" s="10" t="s">
        <v>62</v>
      </c>
      <c r="B81" s="28">
        <f>-10%*B77</f>
        <v>-43943.832064780305</v>
      </c>
      <c r="C81" s="28">
        <f>-10%*C77</f>
        <v>-18675.582877009216</v>
      </c>
      <c r="D81" s="28">
        <f>-10%*D77</f>
        <v>-67516.800000000003</v>
      </c>
      <c r="E81" s="13">
        <f>-10%*E77</f>
        <v>-130136.21494178951</v>
      </c>
    </row>
    <row r="82" spans="1:5" x14ac:dyDescent="0.2">
      <c r="A82" s="10" t="s">
        <v>81</v>
      </c>
      <c r="B82" s="28"/>
      <c r="C82" s="28"/>
      <c r="D82" s="28"/>
      <c r="E82" s="13">
        <f>-'Building Purchase&amp;Depreciation'!B15</f>
        <v>-531049.00613692217</v>
      </c>
    </row>
    <row r="83" spans="1:5" x14ac:dyDescent="0.2">
      <c r="A83" s="10" t="s">
        <v>64</v>
      </c>
      <c r="B83" s="28"/>
      <c r="C83" s="28"/>
      <c r="D83" s="28"/>
      <c r="E83" s="12">
        <f>SUM(E80:E82)</f>
        <v>-799381.24887168047</v>
      </c>
    </row>
    <row r="84" spans="1:5" x14ac:dyDescent="0.2">
      <c r="A84" s="10"/>
      <c r="B84" s="28"/>
      <c r="C84" s="28"/>
      <c r="D84" s="28"/>
      <c r="E84" s="12"/>
    </row>
    <row r="85" spans="1:5" x14ac:dyDescent="0.2">
      <c r="A85" s="14" t="s">
        <v>60</v>
      </c>
      <c r="B85" s="28"/>
      <c r="C85" s="28"/>
      <c r="D85" s="28"/>
      <c r="E85" s="12">
        <f>E77+E83</f>
        <v>501980.90054621466</v>
      </c>
    </row>
    <row r="86" spans="1:5" x14ac:dyDescent="0.2">
      <c r="A86" s="15"/>
      <c r="B86" s="28"/>
      <c r="C86" s="28"/>
      <c r="D86" s="28"/>
      <c r="E86" s="12"/>
    </row>
    <row r="87" spans="1:5" x14ac:dyDescent="0.2">
      <c r="A87" s="10"/>
      <c r="B87" s="28"/>
      <c r="C87" s="28"/>
      <c r="D87" s="28"/>
      <c r="E87" s="12"/>
    </row>
    <row r="88" spans="1:5" x14ac:dyDescent="0.2">
      <c r="A88" s="15"/>
      <c r="B88" s="29"/>
      <c r="C88" s="29"/>
      <c r="D88" s="29"/>
      <c r="E88" s="16"/>
    </row>
    <row r="89" spans="1:5" x14ac:dyDescent="0.2">
      <c r="A89" s="15"/>
      <c r="B89" s="29"/>
      <c r="C89" s="29"/>
      <c r="D89" s="29"/>
      <c r="E89" s="16"/>
    </row>
    <row r="90" spans="1:5" x14ac:dyDescent="0.2">
      <c r="A90" s="9" t="s">
        <v>36</v>
      </c>
      <c r="B90" s="26" t="s">
        <v>3</v>
      </c>
      <c r="C90" s="26" t="s">
        <v>7</v>
      </c>
      <c r="D90" s="26" t="s">
        <v>9</v>
      </c>
      <c r="E90" s="11" t="s">
        <v>61</v>
      </c>
    </row>
    <row r="91" spans="1:5" x14ac:dyDescent="0.2">
      <c r="A91" s="11" t="s">
        <v>57</v>
      </c>
      <c r="B91" s="26"/>
      <c r="C91" s="26"/>
      <c r="D91" s="26"/>
      <c r="E91" s="10"/>
    </row>
    <row r="92" spans="1:5" x14ac:dyDescent="0.2">
      <c r="A92" s="10" t="s">
        <v>4</v>
      </c>
      <c r="B92" s="27">
        <v>24156</v>
      </c>
      <c r="C92" s="27">
        <v>10266</v>
      </c>
      <c r="D92" s="27">
        <v>25968</v>
      </c>
      <c r="E92" s="12">
        <f>SUM(B92:D92)</f>
        <v>60390</v>
      </c>
    </row>
    <row r="93" spans="1:5" x14ac:dyDescent="0.2">
      <c r="A93" s="10" t="s">
        <v>5</v>
      </c>
      <c r="B93" s="27">
        <f>'Rent Market Project'!B7</f>
        <v>18.646476182480463</v>
      </c>
      <c r="C93" s="27">
        <f>'Rent Market Project'!B7</f>
        <v>18.646476182480463</v>
      </c>
      <c r="D93" s="27">
        <f>22+2+2</f>
        <v>26</v>
      </c>
      <c r="E93" s="12">
        <f>SUM(B93:D93)</f>
        <v>63.292952364960925</v>
      </c>
    </row>
    <row r="94" spans="1:5" x14ac:dyDescent="0.2">
      <c r="A94" s="10" t="s">
        <v>63</v>
      </c>
      <c r="B94" s="27">
        <f>B92*B93</f>
        <v>450424.27866399806</v>
      </c>
      <c r="C94" s="27">
        <f>C92*C93</f>
        <v>191424.72448934443</v>
      </c>
      <c r="D94" s="27">
        <f>D92*D93</f>
        <v>675168</v>
      </c>
      <c r="E94" s="12">
        <f>SUM(B94:D94)</f>
        <v>1317017.0031533425</v>
      </c>
    </row>
    <row r="95" spans="1:5" x14ac:dyDescent="0.2">
      <c r="A95" s="10"/>
      <c r="B95" s="27"/>
      <c r="C95" s="27"/>
      <c r="D95" s="27"/>
      <c r="E95" s="12"/>
    </row>
    <row r="96" spans="1:5" x14ac:dyDescent="0.2">
      <c r="A96" s="11" t="s">
        <v>58</v>
      </c>
      <c r="B96" s="27"/>
      <c r="C96" s="27"/>
      <c r="D96" s="27"/>
      <c r="E96" s="12"/>
    </row>
    <row r="97" spans="1:5" x14ac:dyDescent="0.2">
      <c r="A97" s="10" t="s">
        <v>59</v>
      </c>
      <c r="B97" s="28">
        <f>-8.5*((102.5%)^4)*25%*B92</f>
        <v>-56660.371395117181</v>
      </c>
      <c r="C97" s="28">
        <f>-8.5*((102.5%)^4)*25%*C92</f>
        <v>-24079.954162207028</v>
      </c>
      <c r="D97" s="28">
        <f>-8.5*((102.5%)^4)*25%*D92</f>
        <v>-60910.60293046874</v>
      </c>
      <c r="E97" s="13">
        <f>SUM(B97:D97)</f>
        <v>-141650.92848779296</v>
      </c>
    </row>
    <row r="98" spans="1:5" x14ac:dyDescent="0.2">
      <c r="A98" s="10" t="s">
        <v>62</v>
      </c>
      <c r="B98" s="28">
        <f>-10%*B94</f>
        <v>-45042.427866399812</v>
      </c>
      <c r="C98" s="28">
        <f>-10%*C94</f>
        <v>-19142.472448934444</v>
      </c>
      <c r="D98" s="28">
        <f>-10%*D94</f>
        <v>-67516.800000000003</v>
      </c>
      <c r="E98" s="13">
        <f>-10%*E94</f>
        <v>-131701.70031533425</v>
      </c>
    </row>
    <row r="99" spans="1:5" x14ac:dyDescent="0.2">
      <c r="A99" s="10" t="s">
        <v>81</v>
      </c>
      <c r="B99" s="28"/>
      <c r="C99" s="28"/>
      <c r="D99" s="28"/>
      <c r="E99" s="12">
        <f>-'Building Purchase&amp;Depreciation'!B15</f>
        <v>-531049.00613692217</v>
      </c>
    </row>
    <row r="100" spans="1:5" x14ac:dyDescent="0.2">
      <c r="A100" s="10" t="s">
        <v>64</v>
      </c>
      <c r="B100" s="28"/>
      <c r="C100" s="28"/>
      <c r="D100" s="28"/>
      <c r="E100" s="12">
        <f>SUM(E97:E99)</f>
        <v>-804401.63494004938</v>
      </c>
    </row>
    <row r="101" spans="1:5" x14ac:dyDescent="0.2">
      <c r="A101" s="10"/>
      <c r="B101" s="28"/>
      <c r="C101" s="28"/>
      <c r="D101" s="28"/>
      <c r="E101" s="12"/>
    </row>
    <row r="102" spans="1:5" x14ac:dyDescent="0.2">
      <c r="A102" s="14" t="s">
        <v>60</v>
      </c>
      <c r="B102" s="28"/>
      <c r="C102" s="28"/>
      <c r="D102" s="28"/>
      <c r="E102" s="12">
        <f>E94+E100</f>
        <v>512615.36821329314</v>
      </c>
    </row>
    <row r="103" spans="1:5" x14ac:dyDescent="0.2">
      <c r="A103" s="15"/>
      <c r="B103" s="28"/>
      <c r="C103" s="28"/>
      <c r="D103" s="28"/>
      <c r="E103" s="12"/>
    </row>
    <row r="104" spans="1:5" x14ac:dyDescent="0.2">
      <c r="A104" s="10"/>
      <c r="B104" s="28"/>
      <c r="C104" s="28"/>
      <c r="D104" s="28"/>
      <c r="E104" s="12"/>
    </row>
    <row r="105" spans="1:5" x14ac:dyDescent="0.2">
      <c r="A105" s="15"/>
      <c r="B105" s="29"/>
      <c r="C105" s="29"/>
      <c r="D105" s="29"/>
      <c r="E105" s="16"/>
    </row>
    <row r="106" spans="1:5" x14ac:dyDescent="0.2">
      <c r="A106" s="1"/>
      <c r="B106" s="18"/>
      <c r="C106" s="18"/>
      <c r="D106" s="18"/>
      <c r="E106" s="1"/>
    </row>
    <row r="107" spans="1:5" x14ac:dyDescent="0.2">
      <c r="A107" s="1"/>
      <c r="B107" s="31"/>
      <c r="C107" s="31"/>
      <c r="D107" s="31"/>
      <c r="E107" s="4"/>
    </row>
    <row r="108" spans="1:5" x14ac:dyDescent="0.2">
      <c r="A108" s="1"/>
      <c r="B108" s="38"/>
      <c r="C108" s="31"/>
      <c r="D108" s="31"/>
      <c r="E108" s="4"/>
    </row>
    <row r="109" spans="1:5" x14ac:dyDescent="0.2">
      <c r="A109" s="1"/>
      <c r="B109" s="31"/>
      <c r="C109" s="31"/>
      <c r="D109" s="31"/>
      <c r="E109" s="4"/>
    </row>
    <row r="110" spans="1:5" x14ac:dyDescent="0.2">
      <c r="A110" s="1"/>
      <c r="B110" s="31"/>
      <c r="C110" s="31"/>
      <c r="D110" s="31"/>
      <c r="E110" s="4"/>
    </row>
    <row r="111" spans="1:5" x14ac:dyDescent="0.2">
      <c r="A111" s="1"/>
      <c r="B111" s="31"/>
      <c r="C111" s="31"/>
      <c r="D111" s="31"/>
      <c r="E111" s="4"/>
    </row>
    <row r="112" spans="1:5" x14ac:dyDescent="0.2">
      <c r="A112" s="1"/>
      <c r="B112" s="31"/>
      <c r="C112" s="32"/>
      <c r="D112" s="18"/>
      <c r="E112" s="1"/>
    </row>
    <row r="113" spans="1:5" x14ac:dyDescent="0.2">
      <c r="A113" s="1"/>
      <c r="B113" s="30"/>
      <c r="C113" s="30"/>
      <c r="D113" s="30"/>
      <c r="E113" s="5"/>
    </row>
    <row r="114" spans="1:5" x14ac:dyDescent="0.2">
      <c r="A114" s="1"/>
      <c r="B114" s="18"/>
      <c r="C114" s="32"/>
      <c r="D114" s="18"/>
      <c r="E114" s="1"/>
    </row>
    <row r="115" spans="1:5" x14ac:dyDescent="0.2">
      <c r="A115" s="1"/>
      <c r="B115" s="30"/>
      <c r="C115" s="30"/>
      <c r="D115" s="30"/>
      <c r="E115" s="5"/>
    </row>
    <row r="116" spans="1:5" x14ac:dyDescent="0.2">
      <c r="A116" s="1"/>
      <c r="B116" s="18"/>
      <c r="C116" s="18"/>
      <c r="D116" s="30"/>
      <c r="E116" s="5"/>
    </row>
    <row r="117" spans="1:5" x14ac:dyDescent="0.2">
      <c r="A117" s="1"/>
      <c r="B117" s="30"/>
      <c r="C117" s="30"/>
      <c r="D117" s="30"/>
      <c r="E117" s="5"/>
    </row>
    <row r="118" spans="1:5" x14ac:dyDescent="0.2">
      <c r="A118" s="1"/>
      <c r="B118" s="18"/>
      <c r="C118" s="18"/>
      <c r="D118" s="18"/>
      <c r="E118" s="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tabSelected="1" workbookViewId="0">
      <selection activeCell="D24" sqref="D24:G24"/>
    </sheetView>
  </sheetViews>
  <sheetFormatPr baseColWidth="10" defaultColWidth="12.33203125" defaultRowHeight="15" x14ac:dyDescent="0.2"/>
  <cols>
    <col min="1" max="1" width="26" style="46" customWidth="1"/>
    <col min="2" max="2" width="20.1640625" style="46" customWidth="1"/>
    <col min="3" max="3" width="17.5" style="46" customWidth="1"/>
    <col min="4" max="6" width="15.33203125" style="46" bestFit="1" customWidth="1"/>
    <col min="7" max="7" width="15.5" style="46" bestFit="1" customWidth="1"/>
    <col min="8" max="9" width="13.33203125" style="46" bestFit="1" customWidth="1"/>
    <col min="10" max="16384" width="12.33203125" style="46"/>
  </cols>
  <sheetData>
    <row r="1" spans="1:8" s="45" customFormat="1" ht="13" x14ac:dyDescent="0.15">
      <c r="A1" s="45" t="s">
        <v>70</v>
      </c>
      <c r="B1" s="45">
        <v>1</v>
      </c>
      <c r="C1" s="45">
        <v>2</v>
      </c>
      <c r="D1" s="45">
        <v>3</v>
      </c>
      <c r="E1" s="45">
        <v>4</v>
      </c>
      <c r="F1" s="45">
        <v>5</v>
      </c>
      <c r="G1" s="45">
        <v>6</v>
      </c>
    </row>
    <row r="2" spans="1:8" x14ac:dyDescent="0.2">
      <c r="A2" s="45" t="s">
        <v>82</v>
      </c>
    </row>
    <row r="3" spans="1:8" x14ac:dyDescent="0.2">
      <c r="A3" s="47" t="s">
        <v>83</v>
      </c>
      <c r="B3" s="52">
        <f>'Yearly Cashflow'!E8</f>
        <v>1416447</v>
      </c>
      <c r="C3" s="52">
        <f>'Yearly Cashflow'!E25</f>
        <v>1474414.2749999999</v>
      </c>
      <c r="D3" s="52">
        <f>'Yearly Cashflow'!E42</f>
        <v>1320966.0861</v>
      </c>
      <c r="E3" s="52">
        <f>'Yearly Cashflow'!E60</f>
        <v>1363689.2529989998</v>
      </c>
      <c r="F3" s="52">
        <f>'Yearly Cashflow'!E77</f>
        <v>1301362.1494178951</v>
      </c>
      <c r="G3" s="52">
        <f>'Yearly Cashflow'!E94</f>
        <v>1317017.0031533425</v>
      </c>
    </row>
    <row r="4" spans="1:8" x14ac:dyDescent="0.2">
      <c r="A4" s="47" t="s">
        <v>84</v>
      </c>
      <c r="B4" s="47">
        <v>0</v>
      </c>
      <c r="C4" s="47">
        <v>0</v>
      </c>
      <c r="D4" s="52">
        <f>'Yearly Cashflow'!E46</f>
        <v>-66048.304304999998</v>
      </c>
      <c r="E4" s="52">
        <f>'Yearly Cashflow'!E64</f>
        <v>-68184.462649949986</v>
      </c>
      <c r="F4" s="52">
        <f>'Yearly Cashflow'!E81</f>
        <v>-130136.21494178951</v>
      </c>
      <c r="G4" s="52">
        <f>'Yearly Cashflow'!E98</f>
        <v>-131701.70031533425</v>
      </c>
    </row>
    <row r="5" spans="1:8" x14ac:dyDescent="0.2">
      <c r="A5" s="47" t="s">
        <v>85</v>
      </c>
      <c r="B5" s="52">
        <f>B3-B4</f>
        <v>1416447</v>
      </c>
      <c r="C5" s="52">
        <f>C3-C4</f>
        <v>1474414.2749999999</v>
      </c>
      <c r="D5" s="52">
        <f>D3+D4</f>
        <v>1254917.781795</v>
      </c>
      <c r="E5" s="52">
        <f>E3+E4</f>
        <v>1295504.7903490497</v>
      </c>
      <c r="F5" s="52">
        <f>F3+F4</f>
        <v>1171225.9344761055</v>
      </c>
      <c r="G5" s="52">
        <f>G3+G4</f>
        <v>1185315.3028380084</v>
      </c>
    </row>
    <row r="6" spans="1:8" s="66" customFormat="1" x14ac:dyDescent="0.2">
      <c r="A6" s="64" t="s">
        <v>86</v>
      </c>
      <c r="B6" s="65">
        <f>'Yearly Cashflow'!E11</f>
        <v>-513315</v>
      </c>
      <c r="C6" s="65">
        <f>'Yearly Cashflow'!E28</f>
        <v>-131536.96874999997</v>
      </c>
      <c r="D6" s="65">
        <f>'Yearly Cashflow'!E45</f>
        <v>-80895.235781249998</v>
      </c>
      <c r="E6" s="65">
        <f>'Yearly Cashflow'!E63</f>
        <v>-82917.616675781246</v>
      </c>
      <c r="F6" s="65">
        <f>'Yearly Cashflow'!E80</f>
        <v>-138196.02779296876</v>
      </c>
      <c r="G6" s="65">
        <f>'Yearly Cashflow'!E97</f>
        <v>-141650.92848779296</v>
      </c>
      <c r="H6" s="66" t="s">
        <v>125</v>
      </c>
    </row>
    <row r="7" spans="1:8" x14ac:dyDescent="0.2">
      <c r="A7" s="47" t="s">
        <v>111</v>
      </c>
      <c r="B7" s="52">
        <f>'Yearly Cashflow'!E12</f>
        <v>-150000</v>
      </c>
      <c r="C7" s="52">
        <f>'Yearly Cashflow'!E29</f>
        <v>-150000</v>
      </c>
      <c r="D7" s="52">
        <f>'Yearly Cashflow'!E47</f>
        <v>-150000</v>
      </c>
      <c r="E7" s="52" t="s">
        <v>67</v>
      </c>
      <c r="F7" s="47" t="s">
        <v>67</v>
      </c>
      <c r="G7" s="47" t="s">
        <v>67</v>
      </c>
    </row>
    <row r="8" spans="1:8" s="48" customFormat="1" x14ac:dyDescent="0.2">
      <c r="A8" s="51" t="s">
        <v>87</v>
      </c>
      <c r="B8" s="53">
        <f>SUM(B5:B7)</f>
        <v>753132</v>
      </c>
      <c r="C8" s="53">
        <f>SUM(C5:C7)</f>
        <v>1192877.3062499999</v>
      </c>
      <c r="D8" s="53">
        <f>SUM(D5:D7)</f>
        <v>1024022.5460137499</v>
      </c>
      <c r="E8" s="53">
        <f>SUM(E5:E7)</f>
        <v>1212587.1736732684</v>
      </c>
      <c r="F8" s="53">
        <f>SUM(F5:F7)</f>
        <v>1033029.9066831367</v>
      </c>
      <c r="G8" s="52">
        <f>SUM(G5:G6)</f>
        <v>1043664.3743502154</v>
      </c>
    </row>
    <row r="9" spans="1:8" s="66" customFormat="1" x14ac:dyDescent="0.2">
      <c r="A9" s="64" t="s">
        <v>88</v>
      </c>
      <c r="B9" s="65">
        <f>'Yearly Cashflow'!E13</f>
        <v>-531049.00613692217</v>
      </c>
      <c r="C9" s="65">
        <f>'Yearly Cashflow'!E30</f>
        <v>-531049.00613692217</v>
      </c>
      <c r="D9" s="65">
        <f>'Yearly Cashflow'!E48</f>
        <v>-531049.00613692217</v>
      </c>
      <c r="E9" s="65">
        <f>'Yearly Cashflow'!E65</f>
        <v>-531049.00613692217</v>
      </c>
      <c r="F9" s="65">
        <f>'Yearly Cashflow'!E82</f>
        <v>-531049.00613692217</v>
      </c>
      <c r="G9" s="76">
        <f>'Yearly Cashflow'!E99</f>
        <v>-531049.00613692217</v>
      </c>
      <c r="H9" s="66" t="s">
        <v>127</v>
      </c>
    </row>
    <row r="10" spans="1:8" x14ac:dyDescent="0.2">
      <c r="A10" s="47" t="s">
        <v>89</v>
      </c>
      <c r="B10" s="52">
        <f t="shared" ref="B10:G10" si="0">B8+B9</f>
        <v>222082.99386307783</v>
      </c>
      <c r="C10" s="52">
        <f t="shared" si="0"/>
        <v>661828.30011307774</v>
      </c>
      <c r="D10" s="52">
        <f t="shared" si="0"/>
        <v>492973.53987682774</v>
      </c>
      <c r="E10" s="52">
        <f t="shared" si="0"/>
        <v>681538.16753634624</v>
      </c>
      <c r="F10" s="52">
        <f t="shared" si="0"/>
        <v>501980.90054621454</v>
      </c>
      <c r="G10" s="76">
        <f t="shared" si="0"/>
        <v>512615.36821329326</v>
      </c>
    </row>
    <row r="11" spans="1:8" x14ac:dyDescent="0.2">
      <c r="A11" s="47" t="s">
        <v>90</v>
      </c>
      <c r="B11" s="52">
        <f t="shared" ref="B11:G11" si="1">-B19</f>
        <v>-97456.955645800103</v>
      </c>
      <c r="C11" s="52">
        <f t="shared" si="1"/>
        <v>-238369.70408531892</v>
      </c>
      <c r="D11" s="52">
        <f t="shared" si="1"/>
        <v>-180731.11149939228</v>
      </c>
      <c r="E11" s="52">
        <f t="shared" si="1"/>
        <v>-248318.38074202259</v>
      </c>
      <c r="F11" s="52">
        <f t="shared" si="1"/>
        <v>-187464.5049929494</v>
      </c>
      <c r="G11" s="76">
        <f t="shared" si="1"/>
        <v>-193326.15630118939</v>
      </c>
    </row>
    <row r="12" spans="1:8" x14ac:dyDescent="0.2">
      <c r="A12" s="47" t="s">
        <v>91</v>
      </c>
      <c r="B12" s="52">
        <f t="shared" ref="B12:G12" si="2">B10+B11</f>
        <v>124626.03821727773</v>
      </c>
      <c r="C12" s="52">
        <f t="shared" si="2"/>
        <v>423458.59602775879</v>
      </c>
      <c r="D12" s="52">
        <f t="shared" si="2"/>
        <v>312242.42837743543</v>
      </c>
      <c r="E12" s="52">
        <f t="shared" si="2"/>
        <v>433219.78679432365</v>
      </c>
      <c r="F12" s="52">
        <f t="shared" si="2"/>
        <v>314516.39555326512</v>
      </c>
      <c r="G12" s="76">
        <f t="shared" si="2"/>
        <v>319289.21191210387</v>
      </c>
      <c r="H12" s="66" t="s">
        <v>133</v>
      </c>
    </row>
    <row r="14" spans="1:8" x14ac:dyDescent="0.2">
      <c r="A14" s="45" t="s">
        <v>92</v>
      </c>
    </row>
    <row r="15" spans="1:8" x14ac:dyDescent="0.2">
      <c r="A15" s="47" t="s">
        <v>87</v>
      </c>
      <c r="B15" s="52">
        <f t="shared" ref="B15:G15" si="3">B8</f>
        <v>753132</v>
      </c>
      <c r="C15" s="52">
        <f t="shared" si="3"/>
        <v>1192877.3062499999</v>
      </c>
      <c r="D15" s="52">
        <f t="shared" si="3"/>
        <v>1024022.5460137499</v>
      </c>
      <c r="E15" s="52">
        <f t="shared" si="3"/>
        <v>1212587.1736732684</v>
      </c>
      <c r="F15" s="52">
        <f t="shared" si="3"/>
        <v>1033029.9066831367</v>
      </c>
      <c r="G15" s="52">
        <f t="shared" si="3"/>
        <v>1043664.3743502154</v>
      </c>
    </row>
    <row r="16" spans="1:8" s="73" customFormat="1" ht="13" x14ac:dyDescent="0.15">
      <c r="A16" s="70" t="s">
        <v>93</v>
      </c>
      <c r="B16" s="71">
        <f>-'Building Purchase&amp;Depreciation'!D35</f>
        <v>0</v>
      </c>
      <c r="C16" s="71">
        <f>-'Building Purchase&amp;Depreciation'!D36</f>
        <v>-41513.25</v>
      </c>
      <c r="D16" s="72">
        <f>-'Building Purchase&amp;Depreciation'!D37</f>
        <v>-42055.683749999851</v>
      </c>
      <c r="E16" s="72">
        <f>-'Building Purchase&amp;Depreciation'!D38</f>
        <v>-42595.40533125028</v>
      </c>
      <c r="F16" s="72">
        <f>-'Building Purchase&amp;Depreciation'!D39</f>
        <v>-42382.42830459401</v>
      </c>
      <c r="G16" s="72">
        <f>-'Building Purchase&amp;Depreciation'!D40</f>
        <v>-42170.516163071617</v>
      </c>
      <c r="H16" s="73" t="s">
        <v>130</v>
      </c>
    </row>
    <row r="17" spans="1:9" s="73" customFormat="1" ht="13" x14ac:dyDescent="0.15">
      <c r="A17" s="70" t="s">
        <v>94</v>
      </c>
      <c r="B17" s="71">
        <f>-'Building Purchase&amp;Depreciation'!C23</f>
        <v>-474683.55529771396</v>
      </c>
      <c r="C17" s="72">
        <f>-'Building Purchase&amp;Depreciation'!C24</f>
        <v>-470307.75886337436</v>
      </c>
      <c r="D17" s="72">
        <f>-'Building Purchase&amp;Depreciation'!C25</f>
        <v>-465592.25797977205</v>
      </c>
      <c r="E17" s="72">
        <f>-'Building Purchase&amp;Depreciation'!C26</f>
        <v>-460510.68050766783</v>
      </c>
      <c r="F17" s="72">
        <f>-'Building Purchase&amp;Depreciation'!C27</f>
        <v>-455034.60697011586</v>
      </c>
      <c r="G17" s="72">
        <f>-'Building Purchase&amp;Depreciation'!C28</f>
        <v>-449133.41161231697</v>
      </c>
      <c r="H17" s="73" t="s">
        <v>132</v>
      </c>
    </row>
    <row r="18" spans="1:9" x14ac:dyDescent="0.2">
      <c r="A18" s="47" t="s">
        <v>95</v>
      </c>
      <c r="B18" s="52">
        <f t="shared" ref="B18:G18" si="4">SUM(B15:B17)</f>
        <v>278448.44470228604</v>
      </c>
      <c r="C18" s="52">
        <f t="shared" si="4"/>
        <v>681056.29738662555</v>
      </c>
      <c r="D18" s="52">
        <f t="shared" si="4"/>
        <v>516374.604283978</v>
      </c>
      <c r="E18" s="52">
        <f t="shared" si="4"/>
        <v>709481.0878343503</v>
      </c>
      <c r="F18" s="52">
        <f t="shared" si="4"/>
        <v>535612.8714084269</v>
      </c>
      <c r="G18" s="52">
        <f t="shared" si="4"/>
        <v>552360.44657482684</v>
      </c>
    </row>
    <row r="19" spans="1:9" x14ac:dyDescent="0.2">
      <c r="A19" s="47" t="s">
        <v>96</v>
      </c>
      <c r="B19" s="52">
        <f t="shared" ref="B19:G19" si="5">35%*B18</f>
        <v>97456.955645800103</v>
      </c>
      <c r="C19" s="52">
        <f t="shared" si="5"/>
        <v>238369.70408531892</v>
      </c>
      <c r="D19" s="52">
        <f t="shared" si="5"/>
        <v>180731.11149939228</v>
      </c>
      <c r="E19" s="52">
        <f t="shared" si="5"/>
        <v>248318.38074202259</v>
      </c>
      <c r="F19" s="52">
        <f t="shared" si="5"/>
        <v>187464.5049929494</v>
      </c>
      <c r="G19" s="52">
        <f t="shared" si="5"/>
        <v>193326.15630118939</v>
      </c>
    </row>
    <row r="21" spans="1:9" x14ac:dyDescent="0.2">
      <c r="B21" s="66" t="s">
        <v>134</v>
      </c>
    </row>
    <row r="22" spans="1:9" x14ac:dyDescent="0.2">
      <c r="A22" s="45" t="s">
        <v>97</v>
      </c>
      <c r="C22" s="45" t="s">
        <v>98</v>
      </c>
    </row>
    <row r="23" spans="1:9" x14ac:dyDescent="0.2">
      <c r="A23" s="51" t="s">
        <v>99</v>
      </c>
      <c r="B23" s="77">
        <f>'Building Purchase&amp;Depreciation'!B40</f>
        <v>8391932.7164510842</v>
      </c>
      <c r="C23" s="47" t="s">
        <v>100</v>
      </c>
      <c r="D23" s="62">
        <f>B25</f>
        <v>8224094.0621220628</v>
      </c>
    </row>
    <row r="24" spans="1:9" ht="12.75" customHeight="1" x14ac:dyDescent="0.2">
      <c r="A24" s="54" t="s">
        <v>101</v>
      </c>
      <c r="B24" s="63">
        <f>-2%*B23</f>
        <v>-167838.65432902169</v>
      </c>
      <c r="C24" s="55"/>
      <c r="D24" s="82"/>
      <c r="E24" s="83"/>
      <c r="F24" s="83"/>
      <c r="G24" s="83"/>
    </row>
    <row r="25" spans="1:9" x14ac:dyDescent="0.2">
      <c r="A25" s="47" t="s">
        <v>100</v>
      </c>
      <c r="B25" s="62">
        <f>B23+B24</f>
        <v>8224094.0621220628</v>
      </c>
    </row>
    <row r="26" spans="1:9" x14ac:dyDescent="0.2">
      <c r="A26" s="47" t="s">
        <v>102</v>
      </c>
      <c r="B26" s="78">
        <f>-'Building Purchase&amp;Depreciation'!E27</f>
        <v>-5785371.3289340334</v>
      </c>
      <c r="C26" s="66" t="s">
        <v>135</v>
      </c>
    </row>
    <row r="27" spans="1:9" x14ac:dyDescent="0.2">
      <c r="A27" s="47" t="s">
        <v>104</v>
      </c>
      <c r="B27" s="62">
        <f>B25+B26</f>
        <v>2438722.7331880294</v>
      </c>
    </row>
    <row r="28" spans="1:9" x14ac:dyDescent="0.2">
      <c r="A28" s="47" t="s">
        <v>103</v>
      </c>
      <c r="B28" s="78">
        <f>-17%*(B27+B35)</f>
        <v>-68095.239641965003</v>
      </c>
      <c r="C28" s="66" t="s">
        <v>136</v>
      </c>
    </row>
    <row r="29" spans="1:9" x14ac:dyDescent="0.2">
      <c r="A29" s="47" t="s">
        <v>105</v>
      </c>
      <c r="B29" s="62">
        <f>B27+B28</f>
        <v>2370627.4935460645</v>
      </c>
    </row>
    <row r="31" spans="1:9" s="45" customFormat="1" ht="13" x14ac:dyDescent="0.15">
      <c r="A31" s="49" t="s">
        <v>70</v>
      </c>
      <c r="B31" s="45">
        <v>0</v>
      </c>
      <c r="C31" s="45">
        <v>1</v>
      </c>
      <c r="D31" s="45">
        <v>2</v>
      </c>
      <c r="E31" s="45">
        <v>3</v>
      </c>
      <c r="F31" s="45">
        <v>4</v>
      </c>
      <c r="G31" s="45">
        <v>5</v>
      </c>
    </row>
    <row r="32" spans="1:9" x14ac:dyDescent="0.2">
      <c r="A32" s="45" t="s">
        <v>106</v>
      </c>
      <c r="H32" s="60" t="s">
        <v>37</v>
      </c>
      <c r="I32" s="60" t="s">
        <v>72</v>
      </c>
    </row>
    <row r="33" spans="1:9" x14ac:dyDescent="0.2">
      <c r="A33" s="47" t="s">
        <v>107</v>
      </c>
      <c r="B33" s="79">
        <f>B12</f>
        <v>124626.03821727773</v>
      </c>
      <c r="C33" s="52">
        <f>C12/((1+8.5%)^C31)</f>
        <v>390284.42030208185</v>
      </c>
      <c r="D33" s="52">
        <f>D12/((1+8.5%)^D31)</f>
        <v>265235.98154765269</v>
      </c>
      <c r="E33" s="52">
        <f>E12/((1+8.5%)^E31)</f>
        <v>339171.27948170988</v>
      </c>
      <c r="F33" s="52">
        <f>F12/((1+8.5%)^F31)</f>
        <v>226946.94301188376</v>
      </c>
      <c r="G33" s="52">
        <f>G12/((1+8.5%)^G31)</f>
        <v>212341.82908751632</v>
      </c>
      <c r="H33" s="61">
        <f>SUM(B33:G33)</f>
        <v>1558606.4916481222</v>
      </c>
    </row>
    <row r="34" spans="1:9" x14ac:dyDescent="0.2">
      <c r="A34" s="47" t="s">
        <v>108</v>
      </c>
      <c r="B34" s="80"/>
      <c r="C34" s="47"/>
      <c r="D34" s="47"/>
      <c r="E34" s="47"/>
      <c r="F34" s="47"/>
      <c r="G34" s="52">
        <f>B29</f>
        <v>2370627.4935460645</v>
      </c>
    </row>
    <row r="35" spans="1:9" x14ac:dyDescent="0.2">
      <c r="A35" s="50" t="s">
        <v>109</v>
      </c>
      <c r="B35" s="79">
        <f>-'Building Purchase&amp;Depreciation'!B7</f>
        <v>-2038162.5</v>
      </c>
      <c r="C35" s="47"/>
      <c r="D35" s="47"/>
      <c r="E35" s="47"/>
      <c r="F35" s="47"/>
      <c r="G35" s="47"/>
    </row>
    <row r="36" spans="1:9" x14ac:dyDescent="0.2">
      <c r="A36" s="47" t="s">
        <v>110</v>
      </c>
      <c r="B36" s="79">
        <f>SUM(B33:B35)</f>
        <v>-1913536.4617827223</v>
      </c>
      <c r="C36" s="52">
        <f>C33</f>
        <v>390284.42030208185</v>
      </c>
      <c r="D36" s="52">
        <f>D33</f>
        <v>265235.98154765269</v>
      </c>
      <c r="E36" s="52">
        <f>E33</f>
        <v>339171.27948170988</v>
      </c>
      <c r="F36" s="52">
        <f>F33</f>
        <v>226946.94301188376</v>
      </c>
      <c r="G36" s="52">
        <f>SUM(G33:G35)</f>
        <v>2582969.3226335808</v>
      </c>
      <c r="I36" s="61">
        <f>SUM(B36:G36)</f>
        <v>1891071.4851941867</v>
      </c>
    </row>
    <row r="37" spans="1:9" x14ac:dyDescent="0.2">
      <c r="B37" s="81" t="s">
        <v>137</v>
      </c>
    </row>
  </sheetData>
  <mergeCells count="1">
    <mergeCell ref="D24:G2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Info</vt:lpstr>
      <vt:lpstr>Rent Market Project</vt:lpstr>
      <vt:lpstr>Building Purchase&amp;Depreciation</vt:lpstr>
      <vt:lpstr>Yearly Cashflow</vt:lpstr>
      <vt:lpstr>DCF Outline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Job</dc:creator>
  <cp:lastModifiedBy>Microsoft Office User</cp:lastModifiedBy>
  <dcterms:created xsi:type="dcterms:W3CDTF">2017-10-17T04:37:00Z</dcterms:created>
  <dcterms:modified xsi:type="dcterms:W3CDTF">2017-10-19T15:45:56Z</dcterms:modified>
</cp:coreProperties>
</file>